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-20" yWindow="0" windowWidth="26520" windowHeight="17560" tabRatio="500" activeTab="1"/>
  </bookViews>
  <sheets>
    <sheet name="sample info" sheetId="1" r:id="rId1"/>
    <sheet name="gene expression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6" i="2" l="1"/>
  <c r="AG157" i="1"/>
  <c r="AH157" i="1"/>
  <c r="AI157" i="1"/>
  <c r="AG160" i="1"/>
  <c r="AH160" i="1"/>
  <c r="AI160" i="1"/>
  <c r="AG165" i="1"/>
  <c r="AH165" i="1"/>
  <c r="AI165" i="1"/>
  <c r="AG167" i="1"/>
  <c r="AH167" i="1"/>
  <c r="AI167" i="1"/>
  <c r="AG171" i="1"/>
  <c r="AH171" i="1"/>
  <c r="AI171" i="1"/>
  <c r="AG172" i="1"/>
  <c r="AH172" i="1"/>
  <c r="AI172" i="1"/>
  <c r="AG174" i="1"/>
  <c r="AH174" i="1"/>
  <c r="AI174" i="1"/>
  <c r="AG176" i="1"/>
  <c r="AH176" i="1"/>
  <c r="AI176" i="1"/>
  <c r="AG178" i="1"/>
  <c r="AH178" i="1"/>
  <c r="AI178" i="1"/>
  <c r="AG179" i="1"/>
  <c r="AH179" i="1"/>
  <c r="AI179" i="1"/>
  <c r="AG181" i="1"/>
  <c r="AH181" i="1"/>
  <c r="AI181" i="1"/>
  <c r="AG183" i="1"/>
  <c r="AH183" i="1"/>
  <c r="AI183" i="1"/>
  <c r="AG185" i="1"/>
  <c r="AH185" i="1"/>
  <c r="AI185" i="1"/>
  <c r="AG187" i="1"/>
  <c r="AH187" i="1"/>
  <c r="AI187" i="1"/>
  <c r="AG188" i="1"/>
  <c r="AH188" i="1"/>
  <c r="AI188" i="1"/>
  <c r="AH190" i="1"/>
  <c r="AI190" i="1"/>
  <c r="AG192" i="1"/>
  <c r="AH192" i="1"/>
  <c r="AI192" i="1"/>
  <c r="AG194" i="1"/>
  <c r="AH194" i="1"/>
  <c r="AI194" i="1"/>
  <c r="V183" i="1"/>
  <c r="AC183" i="1"/>
  <c r="AE183" i="1"/>
  <c r="V184" i="1"/>
  <c r="AC184" i="1"/>
  <c r="AE184" i="1"/>
  <c r="AH184" i="1"/>
  <c r="V188" i="1"/>
  <c r="AC188" i="1"/>
  <c r="AE188" i="1"/>
  <c r="V189" i="1"/>
  <c r="AC189" i="1"/>
  <c r="AE189" i="1"/>
  <c r="AH189" i="1"/>
  <c r="V4" i="1"/>
  <c r="AC4" i="1"/>
  <c r="AE4" i="1"/>
  <c r="V6" i="1"/>
  <c r="AC6" i="1"/>
  <c r="AE6" i="1"/>
  <c r="V8" i="1"/>
  <c r="AC8" i="1"/>
  <c r="AE8" i="1"/>
  <c r="V12" i="1"/>
  <c r="AC12" i="1"/>
  <c r="AE12" i="1"/>
  <c r="V14" i="1"/>
  <c r="AC14" i="1"/>
  <c r="AE14" i="1"/>
  <c r="AC17" i="1"/>
  <c r="AE17" i="1"/>
  <c r="V20" i="1"/>
  <c r="AC20" i="1"/>
  <c r="AE20" i="1"/>
  <c r="V21" i="1"/>
  <c r="AC21" i="1"/>
  <c r="AE21" i="1"/>
  <c r="V23" i="1"/>
  <c r="AC23" i="1"/>
  <c r="AE23" i="1"/>
  <c r="V25" i="1"/>
  <c r="AC25" i="1"/>
  <c r="AE25" i="1"/>
  <c r="V27" i="1"/>
  <c r="AC27" i="1"/>
  <c r="AE27" i="1"/>
  <c r="V31" i="1"/>
  <c r="AC31" i="1"/>
  <c r="AE31" i="1"/>
  <c r="V32" i="1"/>
  <c r="AC32" i="1"/>
  <c r="AE32" i="1"/>
  <c r="V33" i="1"/>
  <c r="AC33" i="1"/>
  <c r="AE33" i="1"/>
  <c r="V35" i="1"/>
  <c r="AC35" i="1"/>
  <c r="AE35" i="1"/>
  <c r="V36" i="1"/>
  <c r="AC36" i="1"/>
  <c r="AE36" i="1"/>
  <c r="V39" i="1"/>
  <c r="AC39" i="1"/>
  <c r="AE39" i="1"/>
  <c r="V40" i="1"/>
  <c r="AC40" i="1"/>
  <c r="AE40" i="1"/>
  <c r="V41" i="1"/>
  <c r="AC41" i="1"/>
  <c r="AE41" i="1"/>
  <c r="V42" i="1"/>
  <c r="AC42" i="1"/>
  <c r="AE42" i="1"/>
  <c r="V43" i="1"/>
  <c r="AC43" i="1"/>
  <c r="AE43" i="1"/>
  <c r="V44" i="1"/>
  <c r="AC44" i="1"/>
  <c r="AE44" i="1"/>
  <c r="V45" i="1"/>
  <c r="AC45" i="1"/>
  <c r="AE45" i="1"/>
  <c r="V46" i="1"/>
  <c r="AC46" i="1"/>
  <c r="AE46" i="1"/>
  <c r="V47" i="1"/>
  <c r="AC47" i="1"/>
  <c r="AE47" i="1"/>
  <c r="V48" i="1"/>
  <c r="AC48" i="1"/>
  <c r="AE48" i="1"/>
  <c r="V49" i="1"/>
  <c r="AC49" i="1"/>
  <c r="AE49" i="1"/>
  <c r="V50" i="1"/>
  <c r="AC50" i="1"/>
  <c r="AE50" i="1"/>
  <c r="V52" i="1"/>
  <c r="AC52" i="1"/>
  <c r="AE52" i="1"/>
  <c r="V53" i="1"/>
  <c r="AC53" i="1"/>
  <c r="AE53" i="1"/>
  <c r="V59" i="1"/>
  <c r="AC59" i="1"/>
  <c r="AE59" i="1"/>
  <c r="V70" i="1"/>
  <c r="AC70" i="1"/>
  <c r="AE70" i="1"/>
  <c r="V71" i="1"/>
  <c r="AC71" i="1"/>
  <c r="AE71" i="1"/>
  <c r="V72" i="1"/>
  <c r="AC72" i="1"/>
  <c r="AE72" i="1"/>
  <c r="V74" i="1"/>
  <c r="AC74" i="1"/>
  <c r="AE74" i="1"/>
  <c r="V75" i="1"/>
  <c r="AC75" i="1"/>
  <c r="AE75" i="1"/>
  <c r="V76" i="1"/>
  <c r="AC76" i="1"/>
  <c r="AE76" i="1"/>
  <c r="V77" i="1"/>
  <c r="AC77" i="1"/>
  <c r="AE77" i="1"/>
  <c r="V80" i="1"/>
  <c r="AC80" i="1"/>
  <c r="AE80" i="1"/>
  <c r="V81" i="1"/>
  <c r="AC81" i="1"/>
  <c r="AE81" i="1"/>
  <c r="V84" i="1"/>
  <c r="AC84" i="1"/>
  <c r="AE84" i="1"/>
  <c r="V86" i="1"/>
  <c r="AC86" i="1"/>
  <c r="AE86" i="1"/>
  <c r="V87" i="1"/>
  <c r="AC87" i="1"/>
  <c r="AE87" i="1"/>
  <c r="V89" i="1"/>
  <c r="AC89" i="1"/>
  <c r="AE89" i="1"/>
  <c r="V90" i="1"/>
  <c r="AC90" i="1"/>
  <c r="AE90" i="1"/>
  <c r="V91" i="1"/>
  <c r="AC91" i="1"/>
  <c r="AE91" i="1"/>
  <c r="V93" i="1"/>
  <c r="AC93" i="1"/>
  <c r="AE93" i="1"/>
  <c r="V96" i="1"/>
  <c r="AC96" i="1"/>
  <c r="AE96" i="1"/>
  <c r="V98" i="1"/>
  <c r="AC98" i="1"/>
  <c r="AE98" i="1"/>
  <c r="V100" i="1"/>
  <c r="AC100" i="1"/>
  <c r="AE100" i="1"/>
  <c r="V106" i="1"/>
  <c r="AC106" i="1"/>
  <c r="AE106" i="1"/>
  <c r="V108" i="1"/>
  <c r="AC108" i="1"/>
  <c r="AE108" i="1"/>
  <c r="V110" i="1"/>
  <c r="AC110" i="1"/>
  <c r="AE110" i="1"/>
  <c r="V117" i="1"/>
  <c r="AC117" i="1"/>
  <c r="AE117" i="1"/>
  <c r="V121" i="1"/>
  <c r="AC121" i="1"/>
  <c r="AE121" i="1"/>
  <c r="V130" i="1"/>
  <c r="AC130" i="1"/>
  <c r="AE130" i="1"/>
  <c r="V134" i="1"/>
  <c r="AC134" i="1"/>
  <c r="AE134" i="1"/>
  <c r="V150" i="1"/>
  <c r="AC150" i="1"/>
  <c r="AE150" i="1"/>
  <c r="V152" i="1"/>
  <c r="AC152" i="1"/>
  <c r="AE152" i="1"/>
  <c r="V154" i="1"/>
  <c r="AC154" i="1"/>
  <c r="AE154" i="1"/>
  <c r="V156" i="1"/>
  <c r="AC156" i="1"/>
  <c r="AE156" i="1"/>
  <c r="V157" i="1"/>
  <c r="AC157" i="1"/>
  <c r="AE157" i="1"/>
  <c r="V159" i="1"/>
  <c r="AC159" i="1"/>
  <c r="AE159" i="1"/>
  <c r="V160" i="1"/>
  <c r="AC160" i="1"/>
  <c r="AE160" i="1"/>
  <c r="V162" i="1"/>
  <c r="AC162" i="1"/>
  <c r="AE162" i="1"/>
  <c r="V163" i="1"/>
  <c r="AC163" i="1"/>
  <c r="AE163" i="1"/>
  <c r="V165" i="1"/>
  <c r="AC165" i="1"/>
  <c r="AE165" i="1"/>
  <c r="V166" i="1"/>
  <c r="AC166" i="1"/>
  <c r="AE166" i="1"/>
  <c r="V167" i="1"/>
  <c r="AC167" i="1"/>
  <c r="AE167" i="1"/>
  <c r="V168" i="1"/>
  <c r="AC168" i="1"/>
  <c r="AE168" i="1"/>
  <c r="AE169" i="1"/>
  <c r="V173" i="1"/>
  <c r="AC173" i="1"/>
  <c r="AE173" i="1"/>
  <c r="V175" i="1"/>
  <c r="AC175" i="1"/>
  <c r="AE175" i="1"/>
  <c r="V178" i="1"/>
  <c r="AC178" i="1"/>
  <c r="AE178" i="1"/>
  <c r="V179" i="1"/>
  <c r="AC179" i="1"/>
  <c r="AE179" i="1"/>
  <c r="V180" i="1"/>
  <c r="AC180" i="1"/>
  <c r="AE180" i="1"/>
  <c r="V181" i="1"/>
  <c r="AC181" i="1"/>
  <c r="AE181" i="1"/>
  <c r="V185" i="1"/>
  <c r="AC185" i="1"/>
  <c r="AE185" i="1"/>
  <c r="V187" i="1"/>
  <c r="AC187" i="1"/>
  <c r="AE187" i="1"/>
  <c r="V190" i="1"/>
  <c r="AC190" i="1"/>
  <c r="AE190" i="1"/>
  <c r="V192" i="1"/>
  <c r="AC192" i="1"/>
  <c r="AE192" i="1"/>
  <c r="V194" i="1"/>
  <c r="AC194" i="1"/>
  <c r="AE194" i="1"/>
  <c r="V196" i="1"/>
  <c r="AC196" i="1"/>
  <c r="AE196" i="1"/>
  <c r="V197" i="1"/>
  <c r="AC197" i="1"/>
  <c r="AE197" i="1"/>
  <c r="V198" i="1"/>
  <c r="AC198" i="1"/>
  <c r="AE198" i="1"/>
  <c r="AC172" i="1"/>
  <c r="AC176" i="1"/>
  <c r="AC182" i="1"/>
  <c r="AB192" i="1"/>
  <c r="AA196" i="1"/>
  <c r="V18" i="1"/>
  <c r="V22" i="1"/>
  <c r="V29" i="1"/>
  <c r="V82" i="1"/>
  <c r="V127" i="1"/>
  <c r="V145" i="1"/>
  <c r="V149" i="1"/>
  <c r="V158" i="1"/>
  <c r="V161" i="1"/>
  <c r="V191" i="1"/>
  <c r="V193" i="1"/>
  <c r="V195" i="1"/>
  <c r="U192" i="1"/>
  <c r="AG198" i="1"/>
  <c r="AH198" i="1"/>
  <c r="AI198" i="1"/>
  <c r="AH197" i="1"/>
  <c r="AG196" i="1"/>
  <c r="AH196" i="1"/>
  <c r="AI196" i="1"/>
  <c r="AJ188" i="1"/>
  <c r="AJ187" i="1"/>
  <c r="AJ185" i="1"/>
  <c r="AJ183" i="1"/>
  <c r="AJ181" i="1"/>
  <c r="AJ179" i="1"/>
  <c r="AJ178" i="1"/>
  <c r="AJ176" i="1"/>
  <c r="AJ174" i="1"/>
  <c r="AJ172" i="1"/>
  <c r="AJ171" i="1"/>
  <c r="AJ167" i="1"/>
  <c r="AF164" i="1"/>
  <c r="AJ160" i="1"/>
  <c r="AJ157" i="1"/>
  <c r="AC148" i="1"/>
  <c r="AC126" i="1"/>
  <c r="AC125" i="1"/>
  <c r="AC123" i="1"/>
  <c r="AC113" i="1"/>
  <c r="AC103" i="1"/>
  <c r="AC85" i="1"/>
  <c r="N68" i="1"/>
  <c r="N67" i="1"/>
  <c r="N66" i="1"/>
  <c r="N65" i="1"/>
  <c r="AC64" i="1"/>
  <c r="AC63" i="1"/>
  <c r="AC55" i="1"/>
  <c r="AC37" i="1"/>
  <c r="AC19" i="1"/>
  <c r="AC15" i="1"/>
  <c r="AC13" i="1"/>
  <c r="AC11" i="1"/>
  <c r="AC10" i="1"/>
  <c r="AC9" i="1"/>
  <c r="AC7" i="1"/>
  <c r="AC5" i="1"/>
  <c r="AC3" i="1"/>
</calcChain>
</file>

<file path=xl/sharedStrings.xml><?xml version="1.0" encoding="utf-8"?>
<sst xmlns="http://schemas.openxmlformats.org/spreadsheetml/2006/main" count="2635" uniqueCount="419">
  <si>
    <t>sample #</t>
  </si>
  <si>
    <t>Island</t>
  </si>
  <si>
    <t>site</t>
  </si>
  <si>
    <t>Lat</t>
  </si>
  <si>
    <t>Long</t>
  </si>
  <si>
    <t>species</t>
  </si>
  <si>
    <t>notes</t>
  </si>
  <si>
    <t>date</t>
  </si>
  <si>
    <t>collection time</t>
  </si>
  <si>
    <t xml:space="preserve">temp. </t>
  </si>
  <si>
    <t>avg. site temp</t>
  </si>
  <si>
    <t>salinity</t>
  </si>
  <si>
    <t>depth</t>
  </si>
  <si>
    <t>dive conditions</t>
  </si>
  <si>
    <t>visibility</t>
  </si>
  <si>
    <t>max length (cm)</t>
  </si>
  <si>
    <t>planar SA (cm2)</t>
  </si>
  <si>
    <t>storage conditions</t>
  </si>
  <si>
    <t>[RNA]</t>
  </si>
  <si>
    <t>260/280</t>
  </si>
  <si>
    <t>260/230</t>
  </si>
  <si>
    <t>total RNA</t>
  </si>
  <si>
    <t>diluted to</t>
  </si>
  <si>
    <t>ng cDNA</t>
  </si>
  <si>
    <t>[DNA]</t>
  </si>
  <si>
    <t>total DNA</t>
  </si>
  <si>
    <t>RNA/DNA</t>
  </si>
  <si>
    <t>[abs]</t>
  </si>
  <si>
    <t>ng/20 ul</t>
  </si>
  <si>
    <t>ng/ul</t>
  </si>
  <si>
    <t>total protein</t>
  </si>
  <si>
    <t>ul to 20 ug</t>
  </si>
  <si>
    <t>Raivavae</t>
  </si>
  <si>
    <t>AURV01</t>
  </si>
  <si>
    <r>
      <t xml:space="preserve">PD or PV, </t>
    </r>
    <r>
      <rPr>
        <sz val="12"/>
        <color theme="1"/>
        <rFont val="Calibri"/>
        <family val="2"/>
        <scheme val="minor"/>
      </rPr>
      <t>no mORF sequence</t>
    </r>
  </si>
  <si>
    <t>stored in seawater for 4-5 hrs until fixed!</t>
  </si>
  <si>
    <t>clear but extremely surgey</t>
  </si>
  <si>
    <t>RNALater @ -80C</t>
  </si>
  <si>
    <t>failed</t>
  </si>
  <si>
    <t>AURV03</t>
  </si>
  <si>
    <t>P. damicornis</t>
  </si>
  <si>
    <t>samples 2-3 are pseudoreplicates from the</t>
  </si>
  <si>
    <t>NA</t>
  </si>
  <si>
    <t>clear with mild current and surge</t>
  </si>
  <si>
    <t>10 ng/ul</t>
  </si>
  <si>
    <t>precipitated in 1.5 ml acetone</t>
  </si>
  <si>
    <t>same colony</t>
  </si>
  <si>
    <t>20 ng/ul</t>
  </si>
  <si>
    <t>Histology protocol for samples 1-3 and 5-8</t>
  </si>
  <si>
    <t>AURV04</t>
  </si>
  <si>
    <t>histology sample was lost, took water sample</t>
  </si>
  <si>
    <t>absolutely stunning site</t>
  </si>
  <si>
    <t>1) 70% ethanol for 1.5 hrs, took pictures near beginning of incubation, though pigments may still have been extracted</t>
  </si>
  <si>
    <t>precipitated in 1.4 ml acetone</t>
  </si>
  <si>
    <t>AURV06</t>
  </si>
  <si>
    <t>2) 80% ethanol for 1.5 hrs</t>
  </si>
  <si>
    <t>histology sample was accidentally dried</t>
  </si>
  <si>
    <t>3) 90% ethanol for 30 min</t>
  </si>
  <si>
    <t>13:00-14:00 99%</t>
  </si>
  <si>
    <t>failed, discarded</t>
  </si>
  <si>
    <t>diluted entire aliquot</t>
  </si>
  <si>
    <t>4) 95% ethanol for 60 min</t>
  </si>
  <si>
    <t>14:00-15:00 99%</t>
  </si>
  <si>
    <t>sample 6 was poorly embedded and may fracture upon sectioning</t>
  </si>
  <si>
    <t>did not dilute</t>
  </si>
  <si>
    <t>April PCR failed</t>
  </si>
  <si>
    <t>no scale picture</t>
  </si>
  <si>
    <t>extremely surgey</t>
  </si>
  <si>
    <t>5) 95% ethanol for 60 min</t>
  </si>
  <si>
    <t>14:30-15:00 xylene</t>
  </si>
  <si>
    <t>re-extract DNA from backup</t>
  </si>
  <si>
    <t>AURV07</t>
  </si>
  <si>
    <t>took water sample</t>
  </si>
  <si>
    <t>too small to know species</t>
  </si>
  <si>
    <t>6) 1:1 xylene: 95% ethanol for 30 min</t>
  </si>
  <si>
    <t>15:00-15:30 xylene</t>
  </si>
  <si>
    <t>discarded</t>
  </si>
  <si>
    <t>7) xylene for 30 min</t>
  </si>
  <si>
    <t>15:40-16:00 xylene/parrafin</t>
  </si>
  <si>
    <t>left precipitated @ -20C</t>
  </si>
  <si>
    <t>8) xylene for 30 min</t>
  </si>
  <si>
    <t>16:00-16:30 xylene</t>
  </si>
  <si>
    <t>P. acuta</t>
  </si>
  <si>
    <t>tissues were mutilated during processing</t>
  </si>
  <si>
    <t>beautiful</t>
  </si>
  <si>
    <t>9) 1:1 xylene: paraffin for 20 min</t>
  </si>
  <si>
    <t>16:30-17:00 xylene</t>
  </si>
  <si>
    <t>AURV08</t>
  </si>
  <si>
    <t>surgey</t>
  </si>
  <si>
    <t>10) paraffin for 20 min</t>
  </si>
  <si>
    <t>17:00-17:30 xylene:paraffin</t>
  </si>
  <si>
    <t>MISSING</t>
  </si>
  <si>
    <t>no good pictures</t>
  </si>
  <si>
    <t>11) paraffin for 20 min</t>
  </si>
  <si>
    <t>17:30-18:00  paraffin</t>
  </si>
  <si>
    <t>PD or PV, no mORF sequence</t>
  </si>
  <si>
    <t>histology sample was accidentally mutilated</t>
  </si>
  <si>
    <t>very pale</t>
  </si>
  <si>
    <t>histology protocol for samples 9-15</t>
  </si>
  <si>
    <t>1) 70% ethanol for 100 min</t>
  </si>
  <si>
    <t>7:15-8:55</t>
  </si>
  <si>
    <t>2) 80% ethanol for 90 min</t>
  </si>
  <si>
    <t>9:00-10:30</t>
  </si>
  <si>
    <t xml:space="preserve">samples 9, 12, and 14 were poorly embedded (too little paraffin in cassette) may break when sectioned </t>
  </si>
  <si>
    <t>Tubuai</t>
  </si>
  <si>
    <t>AUTB09</t>
  </si>
  <si>
    <t>10:30-11:00</t>
  </si>
  <si>
    <t>no mORF sequence</t>
  </si>
  <si>
    <t>11:00-12:00</t>
  </si>
  <si>
    <t>12:00-13:00</t>
  </si>
  <si>
    <t>6) xylene for 30 min</t>
  </si>
  <si>
    <t>13:15-13:45</t>
  </si>
  <si>
    <t>AUTB10</t>
  </si>
  <si>
    <t>13:45-14:15</t>
  </si>
  <si>
    <t>8) 1:1 xylene-paraffin for 20 min</t>
  </si>
  <si>
    <t>14:30-15:00</t>
  </si>
  <si>
    <t>70C at 40 mm Hg</t>
  </si>
  <si>
    <t>9) paraffin for 20 min</t>
  </si>
  <si>
    <t>15:00-15:30</t>
  </si>
  <si>
    <t>AUTB11</t>
  </si>
  <si>
    <t>15:30-16:00</t>
  </si>
  <si>
    <t>11) embed</t>
  </si>
  <si>
    <t>species verified by mORF sequence</t>
  </si>
  <si>
    <t xml:space="preserve"> AUTB11</t>
  </si>
  <si>
    <t>molecular work only</t>
  </si>
  <si>
    <t>surgey, strong surface current</t>
  </si>
  <si>
    <t>no cDNA pellet</t>
  </si>
  <si>
    <t>AUTB12</t>
  </si>
  <si>
    <t>perfect</t>
  </si>
  <si>
    <t>P. meandrina</t>
  </si>
  <si>
    <t>identity based on DNA sequence</t>
  </si>
  <si>
    <t>AUTB13</t>
  </si>
  <si>
    <t>40-45</t>
  </si>
  <si>
    <t>extract from samples transported at -150C first. Then, if time remains, extract RNA/DNA/protein from samples stored at RT</t>
  </si>
  <si>
    <t>AUTB15</t>
  </si>
  <si>
    <t>murky</t>
  </si>
  <si>
    <t>AUTB16</t>
  </si>
  <si>
    <t>Rurutu</t>
  </si>
  <si>
    <t>AURR18</t>
  </si>
  <si>
    <t>PD or PV</t>
  </si>
  <si>
    <t>5 to 10</t>
  </si>
  <si>
    <t>P. verrucosa</t>
  </si>
  <si>
    <t>Sebastian thinks it could be P. brevicornis</t>
  </si>
  <si>
    <t>AURR19</t>
  </si>
  <si>
    <t>AURR20</t>
  </si>
  <si>
    <t>10 to 15</t>
  </si>
  <si>
    <t>Pocillopora sp. type 8A</t>
  </si>
  <si>
    <t>Rimatara</t>
  </si>
  <si>
    <t>AURM21</t>
  </si>
  <si>
    <t>water sample</t>
  </si>
  <si>
    <r>
      <t xml:space="preserve">no </t>
    </r>
    <r>
      <rPr>
        <i/>
        <sz val="12"/>
        <color theme="1"/>
        <rFont val="Times New Roman"/>
        <family val="1"/>
      </rPr>
      <t>P. damicornis</t>
    </r>
  </si>
  <si>
    <t>AURM22</t>
  </si>
  <si>
    <t>AURM23</t>
  </si>
  <si>
    <t>AURM24</t>
  </si>
  <si>
    <r>
      <t xml:space="preserve">water sample, </t>
    </r>
    <r>
      <rPr>
        <i/>
        <sz val="12"/>
        <color theme="1"/>
        <rFont val="Times New Roman"/>
        <family val="1"/>
      </rPr>
      <t>no P. damicornis</t>
    </r>
  </si>
  <si>
    <t>AURM25</t>
  </si>
  <si>
    <t xml:space="preserve">Rurutu and Rimatara were ravaged by COTS. Only Pocillopora spat at the latter site. </t>
  </si>
  <si>
    <t>Maria</t>
  </si>
  <si>
    <t>AUMA26</t>
  </si>
  <si>
    <t>water sample, coral was totally bleached</t>
  </si>
  <si>
    <t>under ledge, some pigmentation</t>
  </si>
  <si>
    <t>Pocillopora sp., no mORF sequence</t>
  </si>
  <si>
    <t>polyps extended in interior of colony, no mORF sequence</t>
  </si>
  <si>
    <t>beautiful with some surge</t>
  </si>
  <si>
    <t>under overhang, some pigmentation</t>
  </si>
  <si>
    <t>50 to 60</t>
  </si>
  <si>
    <t>AUMA27</t>
  </si>
  <si>
    <t>commensal crab inside</t>
  </si>
  <si>
    <t>do not use for qPCRs</t>
  </si>
  <si>
    <t>very small, under an acroporid</t>
  </si>
  <si>
    <t>totally bleached</t>
  </si>
  <si>
    <t>AUMA28</t>
  </si>
  <si>
    <t xml:space="preserve"> pale and very small</t>
  </si>
  <si>
    <t>beautiful with swell</t>
  </si>
  <si>
    <t>bleached</t>
  </si>
  <si>
    <t>AUMA29</t>
  </si>
  <si>
    <t>mostly bleached</t>
  </si>
  <si>
    <t>under ledge, bleached</t>
  </si>
  <si>
    <t>some pigmentation in interior of colony</t>
  </si>
  <si>
    <t>AUMA30</t>
  </si>
  <si>
    <t>totally bleached exterior, darker interior</t>
  </si>
  <si>
    <t>100% bleached</t>
  </si>
  <si>
    <t>only brown in shaded section</t>
  </si>
  <si>
    <t>re-extract RNA and DNA from backup sample</t>
  </si>
  <si>
    <t>Rarotonga</t>
  </si>
  <si>
    <t>CIRR01</t>
  </si>
  <si>
    <t>site dominated by massive poritids</t>
  </si>
  <si>
    <t>murky with mild current</t>
  </si>
  <si>
    <t>normal pigmentation for Pdam, need to extract</t>
  </si>
  <si>
    <t>severely bleached, no good pictures</t>
  </si>
  <si>
    <t>CIRR02</t>
  </si>
  <si>
    <t>lost CTD</t>
  </si>
  <si>
    <t>huge swells, terrible conditions</t>
  </si>
  <si>
    <t>pale</t>
  </si>
  <si>
    <t>CIRR03</t>
  </si>
  <si>
    <t>on Brian's transect, strange looking, need to extract</t>
  </si>
  <si>
    <t>normal pigmentation</t>
  </si>
  <si>
    <t>normal</t>
  </si>
  <si>
    <t>need to redo PCF in July at ULL</t>
  </si>
  <si>
    <t>need to extract</t>
  </si>
  <si>
    <t>healthy appearance</t>
  </si>
  <si>
    <t>good but poor viz</t>
  </si>
  <si>
    <t>pale but healthy appearance</t>
  </si>
  <si>
    <t>CIRR04</t>
  </si>
  <si>
    <t>20% fully bleached, sampled bleached part</t>
  </si>
  <si>
    <t>good underwater, huge swells on surface</t>
  </si>
  <si>
    <t>healthy looking, no corals nearby, DID NOT EXTRACT</t>
  </si>
  <si>
    <t>huge swells on surface</t>
  </si>
  <si>
    <t>totally bleached, still has live tissue, DID NOT EXTRACT</t>
  </si>
  <si>
    <t>CIRR05</t>
  </si>
  <si>
    <t>darker pigmentation in interior</t>
  </si>
  <si>
    <t>too low (10 ng/ul) discarded</t>
  </si>
  <si>
    <t>100% bleached, still has extended polyps, DID NOT EXTRACT</t>
  </si>
  <si>
    <t>healthy, darkly pigmented</t>
  </si>
  <si>
    <t>CIRR06</t>
  </si>
  <si>
    <t>small, slightly pale, but healthy, DID NOT EXTRACT</t>
  </si>
  <si>
    <t>100% bleached, DID NOT EXTRACT</t>
  </si>
  <si>
    <t xml:space="preserve"> precipitated in 1.4 ml acetone   </t>
  </si>
  <si>
    <t>CIRR07</t>
  </si>
  <si>
    <t>good</t>
  </si>
  <si>
    <t>moderate: pale exterior, pigmented interior</t>
  </si>
  <si>
    <t>swell/surge</t>
  </si>
  <si>
    <t>healthy appearance, sampled darkly pigmented</t>
  </si>
  <si>
    <t>healthy</t>
  </si>
  <si>
    <t>discarded due to low concentration</t>
  </si>
  <si>
    <t>CIRR08</t>
  </si>
  <si>
    <t>healthy though some bleached sections (5%), DID NOT EXTRACT</t>
  </si>
  <si>
    <t>surge in shallower parts</t>
  </si>
  <si>
    <t>large, healthy, dark pigmentation</t>
  </si>
  <si>
    <t>moderately healthy, pale</t>
  </si>
  <si>
    <t>super surgey</t>
  </si>
  <si>
    <t>CIRR09</t>
  </si>
  <si>
    <t>totally bleached, still has live tissue</t>
  </si>
  <si>
    <t>CIRR10</t>
  </si>
  <si>
    <t>poor viz but otherwise great</t>
  </si>
  <si>
    <t>moderately healthy, sampled pigmented part, DID NOT EXTRACT</t>
  </si>
  <si>
    <t>CIRR11</t>
  </si>
  <si>
    <t>moderately healthy, DID NOT EXTRACT</t>
  </si>
  <si>
    <t>fish bite marks, likely Pdam, DID NOT EXTRACT</t>
  </si>
  <si>
    <t>no picture</t>
  </si>
  <si>
    <t>moderately healthy</t>
  </si>
  <si>
    <t>CIRR12</t>
  </si>
  <si>
    <t>excellent</t>
  </si>
  <si>
    <t>Aitutaki</t>
  </si>
  <si>
    <t>CIAT13</t>
  </si>
  <si>
    <t>moderately bleached</t>
  </si>
  <si>
    <t>surface current</t>
  </si>
  <si>
    <t>too low and contaminated</t>
  </si>
  <si>
    <t>on Brian's transect, very small</t>
  </si>
  <si>
    <t>severely bleached</t>
  </si>
  <si>
    <t>CIAT14</t>
  </si>
  <si>
    <t>no corals, site completely destroyed by COTS</t>
  </si>
  <si>
    <t>CIAT15</t>
  </si>
  <si>
    <t>healthy appearance, though small</t>
  </si>
  <si>
    <t>great</t>
  </si>
  <si>
    <t>ug</t>
  </si>
  <si>
    <t>CIAT16</t>
  </si>
  <si>
    <t>small with fish bites, healthy looking</t>
  </si>
  <si>
    <t>white exterior/dark interior in crack in rock</t>
  </si>
  <si>
    <t>not all RNALater was decanted. TRIzol formed layer over RNALater after pre-chloroform spin</t>
  </si>
  <si>
    <t>Re-extract RNA and protein from all 6 samples</t>
  </si>
  <si>
    <t>CIAT17</t>
  </si>
  <si>
    <t>bleached exterior, pigmented interior</t>
  </si>
  <si>
    <t>normal pipgmentation but small</t>
  </si>
  <si>
    <t>conducted pre-chloroform spin @ 12,000 xg for 10 min @ 4C with this batch of 6 samples</t>
  </si>
  <si>
    <t xml:space="preserve">eluted into 30 ul DEPC-treated H20 and 50 ul eluent for RNA and DNA, respectively. </t>
  </si>
  <si>
    <t>104.1-2</t>
  </si>
  <si>
    <t>CIAT18</t>
  </si>
  <si>
    <t>small and mostly bleached, no mORF sequence</t>
  </si>
  <si>
    <t>consider NOT using, no backup sample exists</t>
  </si>
  <si>
    <t>CIAT19</t>
  </si>
  <si>
    <t>lensing of cold/murky water</t>
  </si>
  <si>
    <t>1,000 protein in PWII was split into two tues for all samples, one tube for SDS-PAGE and the other for 2-D</t>
  </si>
  <si>
    <t>CIAT20</t>
  </si>
  <si>
    <t>large, very pale but healthy</t>
  </si>
  <si>
    <t>huge surface swell</t>
  </si>
  <si>
    <t>too low</t>
  </si>
  <si>
    <t>spilled RNA precipitate prior to loading into column</t>
  </si>
  <si>
    <t>protein may have not been isolated due to high amount of skeleton, avoi skeletal pellet in future extractions</t>
  </si>
  <si>
    <t>CIAT21</t>
  </si>
  <si>
    <t>collected crown of thorns starfish (not coral)</t>
  </si>
  <si>
    <t>CIAT22</t>
  </si>
  <si>
    <t>rainy, surface swell</t>
  </si>
  <si>
    <t>mostly healthy (&lt;10% pale)</t>
  </si>
  <si>
    <t>do NOT use spin filter columns. Also, make sure to remove all residual RNALater</t>
  </si>
  <si>
    <t>left residual RNALater in tube, may have contributed to failure</t>
  </si>
  <si>
    <t>re-extract RNA and protein</t>
  </si>
  <si>
    <t>Palmerston</t>
  </si>
  <si>
    <t>CIPA23</t>
  </si>
  <si>
    <t>small but healthy</t>
  </si>
  <si>
    <t>used spin filter (likely the issue)</t>
  </si>
  <si>
    <t>re-extract RNA, DNA, and protein from backup sample</t>
  </si>
  <si>
    <t>try protein with RBCL antibody</t>
  </si>
  <si>
    <t>CIPA24</t>
  </si>
  <si>
    <t>100% bleached, still has extended polyps</t>
  </si>
  <si>
    <t>no spin filter, no visible pellet, a ton of skeleton caused solution (w/iso and HSS) to become cloudy</t>
  </si>
  <si>
    <t>re-extract RNA only from backup sample</t>
  </si>
  <si>
    <t>CIPA25</t>
  </si>
  <si>
    <t>bleached, though polyps extended in interior</t>
  </si>
  <si>
    <t>re-extract RNA and protein only from backup sample</t>
  </si>
  <si>
    <t>healthy appearance, no pictures</t>
  </si>
  <si>
    <t>CIPA26</t>
  </si>
  <si>
    <t>healthy, some fish bites, dark pigmentation</t>
  </si>
  <si>
    <t>re-extract RNA from backup sample</t>
  </si>
  <si>
    <t>pre-chloroform spin</t>
  </si>
  <si>
    <t>improves DNA quality</t>
  </si>
  <si>
    <t>moderately healthy, slightly pale</t>
  </si>
  <si>
    <t>mild current</t>
  </si>
  <si>
    <t>re-extract RNA and proteinfrom backup sample</t>
  </si>
  <si>
    <t>diluted entire sample to 20 ng/ul</t>
  </si>
  <si>
    <t>100% bleached, though still has live tissue, no mORF sequence</t>
  </si>
  <si>
    <t xml:space="preserve">swells </t>
  </si>
  <si>
    <t>re-extract RNA and protein from backup sample</t>
  </si>
  <si>
    <t>redo PCR at ULL</t>
  </si>
  <si>
    <t>100% bleached, though still has live tissue</t>
  </si>
  <si>
    <t>CIPA27</t>
  </si>
  <si>
    <t>severely bleached, only interior has pigmentation</t>
  </si>
  <si>
    <t>no RNA remains (must've spilled some)</t>
  </si>
  <si>
    <t>no concentrated DNA remains (all was diluted to 20 ng/ul)</t>
  </si>
  <si>
    <t>CIPA28</t>
  </si>
  <si>
    <t>healthy, moderate pigmentation, small</t>
  </si>
  <si>
    <t>mostly bleached, very pale, fish bites</t>
  </si>
  <si>
    <t>moderately healthy, small, fish bites</t>
  </si>
  <si>
    <t>CIPA29</t>
  </si>
  <si>
    <t>very healthy, dark pigmentation</t>
  </si>
  <si>
    <t>huge swells in shallows</t>
  </si>
  <si>
    <t>in Taiwan?</t>
  </si>
  <si>
    <t>very pale, cream colored, mostly bleached</t>
  </si>
  <si>
    <t>Sym GCP</t>
  </si>
  <si>
    <t>host</t>
  </si>
  <si>
    <t>host GCP</t>
  </si>
  <si>
    <t>TBD</t>
  </si>
  <si>
    <t>Australs</t>
  </si>
  <si>
    <t>C</t>
  </si>
  <si>
    <t>protein status</t>
  </si>
  <si>
    <t>extraction date</t>
  </si>
  <si>
    <t>sample number</t>
  </si>
  <si>
    <t>color</t>
  </si>
  <si>
    <t>time</t>
  </si>
  <si>
    <t>Sym assemblage</t>
  </si>
  <si>
    <t>RNA/DNA ratio</t>
  </si>
  <si>
    <t>after 14:00</t>
  </si>
  <si>
    <t>15-20</t>
  </si>
  <si>
    <t>before 10:00</t>
  </si>
  <si>
    <t>10:00-14:00</t>
  </si>
  <si>
    <t>A+C</t>
  </si>
  <si>
    <t>A+D</t>
  </si>
  <si>
    <t>Cooks</t>
  </si>
  <si>
    <t>0-5</t>
  </si>
  <si>
    <t>Pocillopora sp. haplotype 8a</t>
  </si>
  <si>
    <r>
      <t xml:space="preserve">GCP=genome copy proportion (a proxy for </t>
    </r>
    <r>
      <rPr>
        <i/>
        <sz val="12"/>
        <color theme="1"/>
        <rFont val="Calibri"/>
        <scheme val="minor"/>
      </rPr>
      <t>Symbiodinium</t>
    </r>
    <r>
      <rPr>
        <sz val="12"/>
        <color theme="1"/>
        <rFont val="Calibri"/>
        <family val="2"/>
        <scheme val="minor"/>
      </rPr>
      <t xml:space="preserve"> density)</t>
    </r>
  </si>
  <si>
    <r>
      <t xml:space="preserve">data are presented as either non-normalized or as normalized to the GCP (to control for variable </t>
    </r>
    <r>
      <rPr>
        <i/>
        <sz val="12"/>
        <color theme="1"/>
        <rFont val="Calibri"/>
        <scheme val="minor"/>
      </rPr>
      <t>Symbiodinium</t>
    </r>
    <r>
      <rPr>
        <sz val="12"/>
        <color theme="1"/>
        <rFont val="Calibri"/>
        <family val="2"/>
        <scheme val="minor"/>
      </rPr>
      <t xml:space="preserve"> densities between samples)</t>
    </r>
  </si>
  <si>
    <r>
      <rPr>
        <i/>
        <sz val="12"/>
        <color theme="1"/>
        <rFont val="Calibri"/>
        <scheme val="minor"/>
      </rPr>
      <t>Symbiodinium</t>
    </r>
    <r>
      <rPr>
        <sz val="12"/>
        <color theme="1"/>
        <rFont val="Calibri"/>
        <family val="2"/>
        <scheme val="minor"/>
      </rPr>
      <t xml:space="preserve"> mRNA expression</t>
    </r>
  </si>
  <si>
    <t>clade C density</t>
  </si>
  <si>
    <r>
      <t xml:space="preserve">Sym </t>
    </r>
    <r>
      <rPr>
        <b/>
        <i/>
        <sz val="12"/>
        <color theme="1"/>
        <rFont val="Calibri"/>
        <scheme val="minor"/>
      </rPr>
      <t>hsp70</t>
    </r>
    <r>
      <rPr>
        <b/>
        <sz val="12"/>
        <color theme="1"/>
        <rFont val="Calibri"/>
        <family val="2"/>
        <charset val="136"/>
        <scheme val="minor"/>
      </rPr>
      <t xml:space="preserve"> non-norm</t>
    </r>
  </si>
  <si>
    <r>
      <t xml:space="preserve">Sym </t>
    </r>
    <r>
      <rPr>
        <b/>
        <i/>
        <sz val="12"/>
        <color theme="1"/>
        <rFont val="Calibri"/>
        <scheme val="minor"/>
      </rPr>
      <t>hsp70</t>
    </r>
    <r>
      <rPr>
        <b/>
        <sz val="12"/>
        <color theme="1"/>
        <rFont val="Calibri"/>
        <family val="2"/>
        <charset val="136"/>
        <scheme val="minor"/>
      </rPr>
      <t>/GCP</t>
    </r>
  </si>
  <si>
    <r>
      <t xml:space="preserve">Sym </t>
    </r>
    <r>
      <rPr>
        <b/>
        <i/>
        <sz val="12"/>
        <color theme="1"/>
        <rFont val="Calibri"/>
        <scheme val="minor"/>
      </rPr>
      <t>hsp40</t>
    </r>
  </si>
  <si>
    <r>
      <t xml:space="preserve">Sym </t>
    </r>
    <r>
      <rPr>
        <b/>
        <i/>
        <sz val="12"/>
        <color theme="1"/>
        <rFont val="Calibri"/>
        <scheme val="minor"/>
      </rPr>
      <t>hsp40</t>
    </r>
    <r>
      <rPr>
        <b/>
        <sz val="12"/>
        <color theme="1"/>
        <rFont val="Calibri"/>
        <family val="2"/>
        <charset val="136"/>
        <scheme val="minor"/>
      </rPr>
      <t>/GCP</t>
    </r>
  </si>
  <si>
    <r>
      <t xml:space="preserve">Sym </t>
    </r>
    <r>
      <rPr>
        <b/>
        <i/>
        <sz val="12"/>
        <color theme="1"/>
        <rFont val="Calibri"/>
        <scheme val="minor"/>
      </rPr>
      <t>hsp90</t>
    </r>
  </si>
  <si>
    <r>
      <t xml:space="preserve">Sym </t>
    </r>
    <r>
      <rPr>
        <b/>
        <i/>
        <sz val="12"/>
        <color theme="1"/>
        <rFont val="Calibri"/>
        <scheme val="minor"/>
      </rPr>
      <t>hsp90</t>
    </r>
    <r>
      <rPr>
        <b/>
        <sz val="12"/>
        <color theme="1"/>
        <rFont val="Calibri"/>
        <family val="2"/>
        <charset val="136"/>
        <scheme val="minor"/>
      </rPr>
      <t>/GCP</t>
    </r>
  </si>
  <si>
    <r>
      <t xml:space="preserve">Sym </t>
    </r>
    <r>
      <rPr>
        <b/>
        <i/>
        <sz val="12"/>
        <color theme="1"/>
        <rFont val="Calibri"/>
        <scheme val="minor"/>
      </rPr>
      <t>apx1</t>
    </r>
  </si>
  <si>
    <r>
      <t xml:space="preserve">Sym </t>
    </r>
    <r>
      <rPr>
        <b/>
        <i/>
        <sz val="12"/>
        <color theme="1"/>
        <rFont val="Calibri"/>
        <scheme val="minor"/>
      </rPr>
      <t>apx1</t>
    </r>
    <r>
      <rPr>
        <b/>
        <sz val="12"/>
        <color theme="1"/>
        <rFont val="Calibri"/>
        <family val="2"/>
        <charset val="136"/>
        <scheme val="minor"/>
      </rPr>
      <t>/GCP</t>
    </r>
  </si>
  <si>
    <r>
      <t xml:space="preserve">Sym </t>
    </r>
    <r>
      <rPr>
        <b/>
        <i/>
        <sz val="12"/>
        <color theme="1"/>
        <rFont val="Calibri"/>
        <scheme val="minor"/>
      </rPr>
      <t>ubiq lig</t>
    </r>
  </si>
  <si>
    <r>
      <t xml:space="preserve">Sym </t>
    </r>
    <r>
      <rPr>
        <b/>
        <i/>
        <sz val="12"/>
        <color theme="1"/>
        <rFont val="Calibri"/>
        <scheme val="minor"/>
      </rPr>
      <t>ubiq lig</t>
    </r>
    <r>
      <rPr>
        <b/>
        <sz val="12"/>
        <color theme="1"/>
        <rFont val="Calibri"/>
        <family val="2"/>
        <charset val="136"/>
        <scheme val="minor"/>
      </rPr>
      <t>/GCP</t>
    </r>
  </si>
  <si>
    <r>
      <t xml:space="preserve">Sym </t>
    </r>
    <r>
      <rPr>
        <b/>
        <i/>
        <sz val="12"/>
        <color theme="1"/>
        <rFont val="Calibri"/>
        <scheme val="minor"/>
      </rPr>
      <t>psi</t>
    </r>
  </si>
  <si>
    <r>
      <t xml:space="preserve">Sym </t>
    </r>
    <r>
      <rPr>
        <b/>
        <i/>
        <sz val="12"/>
        <color theme="1"/>
        <rFont val="Calibri"/>
        <scheme val="minor"/>
      </rPr>
      <t>psi</t>
    </r>
    <r>
      <rPr>
        <b/>
        <sz val="12"/>
        <color theme="1"/>
        <rFont val="Calibri"/>
        <family val="2"/>
        <charset val="136"/>
        <scheme val="minor"/>
      </rPr>
      <t>/GCP</t>
    </r>
  </si>
  <si>
    <t>TBD=to be determined (not yet genotyped)</t>
  </si>
  <si>
    <t>Archipelago</t>
  </si>
  <si>
    <t>Sym hsp70 DNA melt (ºC)</t>
  </si>
  <si>
    <t>Host hsp70 DNA melt (ºC)</t>
  </si>
  <si>
    <t>hsp70</t>
  </si>
  <si>
    <t>abbreviation</t>
  </si>
  <si>
    <t>full gene name</t>
  </si>
  <si>
    <t>heat shock protein 70</t>
  </si>
  <si>
    <t>hsp40</t>
  </si>
  <si>
    <t>heat shock protein 40</t>
  </si>
  <si>
    <t>hsp90</t>
  </si>
  <si>
    <t>heat shock protein 90</t>
  </si>
  <si>
    <t>apx1</t>
  </si>
  <si>
    <t>ascorbate peroxidase</t>
  </si>
  <si>
    <t>ubiq lig</t>
  </si>
  <si>
    <t>ubiquitin ligase</t>
  </si>
  <si>
    <t>psi</t>
  </si>
  <si>
    <t>photosystem I (subunit III)</t>
  </si>
  <si>
    <t>outlier?</t>
  </si>
  <si>
    <t>no</t>
  </si>
  <si>
    <t>.</t>
  </si>
  <si>
    <t>MD</t>
  </si>
  <si>
    <t>YES</t>
  </si>
  <si>
    <t>RNA/DNA ratio missing</t>
  </si>
  <si>
    <t>apx1 and ubiq-lig</t>
  </si>
  <si>
    <t>aberrant hsp40 (high)</t>
  </si>
  <si>
    <t>aberrant hsp90 (high)</t>
  </si>
  <si>
    <t>aberrant apx1 (high)</t>
  </si>
  <si>
    <t>all five genes (high)</t>
  </si>
  <si>
    <t>aberrant hsp70, hsp40, and apx1</t>
  </si>
  <si>
    <t>uijkj</t>
  </si>
  <si>
    <t>Model-Partition</t>
  </si>
  <si>
    <t>Analyze-predictive modeling-partition</t>
  </si>
  <si>
    <t>finds parameter that accounts for most difference</t>
  </si>
  <si>
    <t>did not consider site or date or plate</t>
  </si>
  <si>
    <t>Sym hsp70</t>
  </si>
  <si>
    <t>Sym hsp40</t>
  </si>
  <si>
    <t>Sym hsp90</t>
  </si>
  <si>
    <t>Sym apx1</t>
  </si>
  <si>
    <t>Sym ubiq-lig</t>
  </si>
  <si>
    <t>Sym psI</t>
  </si>
  <si>
    <t>environ parameter</t>
  </si>
  <si>
    <t>transformation</t>
  </si>
  <si>
    <t>log</t>
  </si>
  <si>
    <t>split</t>
  </si>
  <si>
    <t>C only&lt;C+A and C+D</t>
  </si>
  <si>
    <t>island</t>
  </si>
  <si>
    <t>root</t>
  </si>
  <si>
    <t>mixed groups</t>
  </si>
  <si>
    <t>5-10 m&gt; all others</t>
  </si>
  <si>
    <t>rank</t>
  </si>
  <si>
    <t>PM, PD, PA&lt;all others</t>
  </si>
  <si>
    <t>PM&lt;all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</si>
</sst>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charset val="136"/>
      <scheme val="minor"/>
    </font>
    <font>
      <b/>
      <sz val="12"/>
      <color theme="1"/>
      <name val="Calibri"/>
      <family val="2"/>
      <charset val="136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name val="Times New Roman"/>
      <family val="1"/>
    </font>
    <font>
      <i/>
      <sz val="12"/>
      <color rgb="FFFF0000"/>
      <name val="Times New Roman"/>
      <family val="1"/>
    </font>
    <font>
      <u/>
      <sz val="12"/>
      <color theme="10"/>
      <name val="Times New Roman"/>
      <family val="2"/>
    </font>
    <font>
      <sz val="12"/>
      <color rgb="FF000000"/>
      <name val="Times New Roman"/>
      <family val="2"/>
    </font>
    <font>
      <b/>
      <sz val="12"/>
      <color theme="1"/>
      <name val="Times New Roman"/>
      <family val="2"/>
    </font>
    <font>
      <u/>
      <sz val="12"/>
      <color theme="11"/>
      <name val="Calibri"/>
      <family val="2"/>
      <charset val="136"/>
      <scheme val="minor"/>
    </font>
    <font>
      <i/>
      <sz val="12"/>
      <color theme="1"/>
      <name val="Calibri"/>
      <scheme val="minor"/>
    </font>
    <font>
      <b/>
      <i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5">
    <xf numFmtId="0" fontId="0" fillId="0" borderId="0"/>
    <xf numFmtId="0" fontId="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6">
    <xf numFmtId="0" fontId="0" fillId="0" borderId="0" xfId="0"/>
    <xf numFmtId="0" fontId="5" fillId="0" borderId="0" xfId="0" applyFont="1" applyFill="1"/>
    <xf numFmtId="0" fontId="0" fillId="0" borderId="0" xfId="0" applyFont="1" applyFill="1"/>
    <xf numFmtId="0" fontId="0" fillId="0" borderId="0" xfId="0" applyFill="1"/>
    <xf numFmtId="16" fontId="0" fillId="0" borderId="0" xfId="0" applyNumberFormat="1" applyFont="1" applyFill="1"/>
    <xf numFmtId="20" fontId="0" fillId="0" borderId="0" xfId="0" applyNumberFormat="1" applyFont="1" applyFill="1"/>
    <xf numFmtId="0" fontId="6" fillId="0" borderId="0" xfId="0" applyFont="1" applyFill="1"/>
    <xf numFmtId="17" fontId="0" fillId="0" borderId="0" xfId="0" applyNumberFormat="1" applyFill="1"/>
    <xf numFmtId="17" fontId="0" fillId="0" borderId="0" xfId="0" applyNumberFormat="1" applyFill="1" applyBorder="1"/>
    <xf numFmtId="20" fontId="0" fillId="0" borderId="0" xfId="0" applyNumberFormat="1" applyFill="1"/>
    <xf numFmtId="14" fontId="0" fillId="0" borderId="0" xfId="0" applyNumberFormat="1"/>
    <xf numFmtId="14" fontId="0" fillId="0" borderId="0" xfId="0" applyNumberFormat="1" applyFill="1"/>
    <xf numFmtId="0" fontId="0" fillId="0" borderId="0" xfId="0" applyFill="1" applyBorder="1"/>
    <xf numFmtId="16" fontId="0" fillId="0" borderId="0" xfId="0" applyNumberFormat="1" applyFill="1"/>
    <xf numFmtId="16" fontId="0" fillId="0" borderId="0" xfId="0" applyNumberFormat="1"/>
    <xf numFmtId="0" fontId="9" fillId="0" borderId="0" xfId="0" applyFont="1" applyFill="1"/>
    <xf numFmtId="14" fontId="9" fillId="0" borderId="0" xfId="0" applyNumberFormat="1" applyFont="1" applyFill="1"/>
    <xf numFmtId="20" fontId="9" fillId="0" borderId="0" xfId="0" applyNumberFormat="1" applyFont="1" applyFill="1"/>
    <xf numFmtId="0" fontId="0" fillId="0" borderId="0" xfId="0" applyFont="1" applyFill="1" applyBorder="1"/>
    <xf numFmtId="0" fontId="0" fillId="0" borderId="1" xfId="0" applyFont="1" applyFill="1" applyBorder="1"/>
    <xf numFmtId="0" fontId="0" fillId="0" borderId="0" xfId="0" applyNumberFormat="1" applyFill="1"/>
    <xf numFmtId="0" fontId="0" fillId="0" borderId="1" xfId="0" applyFill="1" applyBorder="1"/>
    <xf numFmtId="14" fontId="0" fillId="0" borderId="1" xfId="0" applyNumberFormat="1" applyFill="1" applyBorder="1"/>
    <xf numFmtId="20" fontId="0" fillId="0" borderId="1" xfId="0" applyNumberFormat="1" applyFill="1" applyBorder="1"/>
    <xf numFmtId="0" fontId="10" fillId="0" borderId="0" xfId="0" applyFont="1" applyFill="1" applyBorder="1"/>
    <xf numFmtId="0" fontId="3" fillId="0" borderId="1" xfId="0" applyFont="1" applyFill="1" applyBorder="1"/>
    <xf numFmtId="0" fontId="4" fillId="0" borderId="0" xfId="0" applyFont="1" applyFill="1" applyBorder="1"/>
    <xf numFmtId="14" fontId="0" fillId="0" borderId="0" xfId="0" applyNumberFormat="1" applyFont="1" applyFill="1"/>
    <xf numFmtId="0" fontId="7" fillId="0" borderId="0" xfId="0" applyFont="1" applyFill="1"/>
    <xf numFmtId="0" fontId="5" fillId="0" borderId="1" xfId="0" applyFont="1" applyFill="1" applyBorder="1"/>
    <xf numFmtId="16" fontId="0" fillId="0" borderId="1" xfId="0" applyNumberFormat="1" applyFont="1" applyFill="1" applyBorder="1"/>
    <xf numFmtId="0" fontId="6" fillId="0" borderId="1" xfId="0" applyFont="1" applyFill="1" applyBorder="1"/>
    <xf numFmtId="17" fontId="0" fillId="0" borderId="1" xfId="0" applyNumberFormat="1" applyFill="1" applyBorder="1"/>
    <xf numFmtId="0" fontId="8" fillId="0" borderId="0" xfId="1" applyFill="1"/>
    <xf numFmtId="0" fontId="0" fillId="0" borderId="0" xfId="0" applyFont="1" applyFill="1" applyAlignment="1">
      <alignment horizontal="left"/>
    </xf>
    <xf numFmtId="14" fontId="0" fillId="0" borderId="0" xfId="0" applyNumberFormat="1" applyFill="1" applyBorder="1"/>
    <xf numFmtId="20" fontId="0" fillId="0" borderId="0" xfId="0" applyNumberFormat="1" applyFill="1" applyBorder="1"/>
    <xf numFmtId="0" fontId="9" fillId="0" borderId="0" xfId="0" applyFont="1" applyFill="1" applyBorder="1"/>
    <xf numFmtId="0" fontId="0" fillId="0" borderId="0" xfId="0" applyNumberFormat="1" applyFill="1" applyBorder="1"/>
    <xf numFmtId="0" fontId="0" fillId="0" borderId="1" xfId="0" applyNumberFormat="1" applyFill="1" applyBorder="1"/>
    <xf numFmtId="0" fontId="10" fillId="0" borderId="0" xfId="0" applyFont="1" applyFill="1"/>
    <xf numFmtId="0" fontId="10" fillId="0" borderId="1" xfId="0" applyFont="1" applyFill="1" applyBorder="1"/>
    <xf numFmtId="17" fontId="9" fillId="0" borderId="0" xfId="0" applyNumberFormat="1" applyFont="1" applyFill="1"/>
    <xf numFmtId="0" fontId="1" fillId="0" borderId="0" xfId="0" applyFont="1" applyFill="1"/>
    <xf numFmtId="0" fontId="0" fillId="0" borderId="2" xfId="0" applyBorder="1"/>
    <xf numFmtId="0" fontId="2" fillId="0" borderId="0" xfId="0" applyFont="1"/>
    <xf numFmtId="0" fontId="2" fillId="0" borderId="2" xfId="0" applyFont="1" applyBorder="1"/>
    <xf numFmtId="0" fontId="12" fillId="0" borderId="0" xfId="0" applyFont="1"/>
    <xf numFmtId="0" fontId="0" fillId="0" borderId="3" xfId="0" applyBorder="1"/>
    <xf numFmtId="0" fontId="2" fillId="0" borderId="3" xfId="0" applyFont="1" applyBorder="1"/>
    <xf numFmtId="0" fontId="0" fillId="0" borderId="0" xfId="0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/>
    <xf numFmtId="0" fontId="1" fillId="0" borderId="0" xfId="0" applyFont="1"/>
    <xf numFmtId="0" fontId="0" fillId="2" borderId="0" xfId="0" applyFill="1"/>
  </cellXfs>
  <cellStyles count="15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8"/>
  <sheetViews>
    <sheetView workbookViewId="0">
      <pane ySplit="1" topLeftCell="A156" activePane="bottomLeft" state="frozen"/>
      <selection activeCell="Y1" sqref="Y1"/>
      <selection pane="bottomLeft" activeCell="AA206" sqref="Z206:AA207"/>
    </sheetView>
  </sheetViews>
  <sheetFormatPr baseColWidth="10" defaultRowHeight="15" x14ac:dyDescent="0"/>
  <cols>
    <col min="1" max="5" width="10.83203125" style="3"/>
    <col min="6" max="6" width="38.6640625" style="3" customWidth="1"/>
    <col min="7" max="7" width="54.83203125" style="3" customWidth="1"/>
    <col min="8" max="8" width="10.83203125" style="3"/>
    <col min="9" max="9" width="13.33203125" style="3" bestFit="1" customWidth="1"/>
    <col min="10" max="10" width="6.5" style="3" bestFit="1" customWidth="1"/>
    <col min="11" max="11" width="12.6640625" style="3" bestFit="1" customWidth="1"/>
    <col min="12" max="12" width="8" style="3" bestFit="1" customWidth="1"/>
    <col min="13" max="13" width="6" style="3" bestFit="1" customWidth="1"/>
    <col min="14" max="14" width="34.6640625" style="3" bestFit="1" customWidth="1"/>
    <col min="15" max="15" width="10.83203125" style="3"/>
    <col min="16" max="16" width="14.33203125" style="3" bestFit="1" customWidth="1"/>
    <col min="17" max="17" width="14" style="3" bestFit="1" customWidth="1"/>
    <col min="18" max="18" width="16.5" style="3" bestFit="1" customWidth="1"/>
    <col min="19" max="22" width="9.1640625" style="3" customWidth="1"/>
    <col min="23" max="23" width="13" style="3" customWidth="1"/>
    <col min="24" max="24" width="9.1640625" style="3" customWidth="1"/>
    <col min="25" max="25" width="14.1640625" style="3" customWidth="1"/>
    <col min="26" max="31" width="10.83203125" style="3"/>
    <col min="32" max="32" width="27.33203125" style="3" bestFit="1" customWidth="1"/>
    <col min="33" max="16384" width="10.83203125" style="3"/>
  </cols>
  <sheetData>
    <row r="1" spans="1:43">
      <c r="A1" s="2" t="s">
        <v>0</v>
      </c>
      <c r="B1" s="2" t="s">
        <v>1</v>
      </c>
      <c r="C1" s="2" t="s">
        <v>2</v>
      </c>
      <c r="D1" s="25" t="s">
        <v>3</v>
      </c>
      <c r="E1" s="25" t="s">
        <v>4</v>
      </c>
      <c r="F1" s="26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335</v>
      </c>
      <c r="Z1" s="3" t="s">
        <v>24</v>
      </c>
      <c r="AA1" s="3" t="s">
        <v>19</v>
      </c>
      <c r="AB1" s="3" t="s">
        <v>20</v>
      </c>
      <c r="AC1" s="3" t="s">
        <v>25</v>
      </c>
      <c r="AD1" s="3" t="s">
        <v>22</v>
      </c>
      <c r="AE1" s="3" t="s">
        <v>26</v>
      </c>
      <c r="AF1" s="3" t="s">
        <v>334</v>
      </c>
    </row>
    <row r="2" spans="1:43">
      <c r="A2" s="2">
        <v>1.1000000000000001</v>
      </c>
      <c r="B2" s="2" t="s">
        <v>32</v>
      </c>
      <c r="C2" s="2" t="s">
        <v>33</v>
      </c>
      <c r="D2" s="3">
        <v>-23.860499999999998</v>
      </c>
      <c r="E2" s="3">
        <v>-147.71510000000001</v>
      </c>
      <c r="F2" s="1" t="s">
        <v>34</v>
      </c>
      <c r="G2" s="2" t="s">
        <v>35</v>
      </c>
      <c r="H2" s="27">
        <v>41375</v>
      </c>
      <c r="I2" s="5">
        <v>0.41666666666666669</v>
      </c>
      <c r="J2" s="2">
        <v>25.7</v>
      </c>
      <c r="K2" s="2">
        <v>25.7</v>
      </c>
      <c r="L2" s="6">
        <v>35.700000000000003</v>
      </c>
      <c r="M2" s="2">
        <v>14</v>
      </c>
      <c r="N2" s="2" t="s">
        <v>36</v>
      </c>
      <c r="O2" s="2">
        <v>50</v>
      </c>
      <c r="P2" s="2">
        <v>9.1</v>
      </c>
      <c r="Q2" s="2">
        <v>40.799999999999997</v>
      </c>
      <c r="R2" s="2" t="s">
        <v>37</v>
      </c>
      <c r="S2" s="3" t="s">
        <v>38</v>
      </c>
      <c r="Z2" s="3" t="s">
        <v>38</v>
      </c>
    </row>
    <row r="3" spans="1:43">
      <c r="A3" s="2">
        <v>2.1</v>
      </c>
      <c r="B3" s="2" t="s">
        <v>32</v>
      </c>
      <c r="C3" s="2" t="s">
        <v>39</v>
      </c>
      <c r="D3" s="3">
        <v>-23.8902</v>
      </c>
      <c r="E3" s="3">
        <v>-147.7208</v>
      </c>
      <c r="F3" s="1" t="s">
        <v>40</v>
      </c>
      <c r="G3" s="2" t="s">
        <v>41</v>
      </c>
      <c r="H3" s="27">
        <v>41375</v>
      </c>
      <c r="I3" s="5">
        <v>0.67708333333333337</v>
      </c>
      <c r="J3" s="2">
        <v>25.4</v>
      </c>
      <c r="K3" s="2">
        <v>25.7</v>
      </c>
      <c r="L3" s="6">
        <v>35.700000000000003</v>
      </c>
      <c r="M3" s="2">
        <v>11.5</v>
      </c>
      <c r="N3" s="2" t="s">
        <v>43</v>
      </c>
      <c r="O3" s="2">
        <v>35</v>
      </c>
      <c r="P3" s="2">
        <v>7</v>
      </c>
      <c r="Q3" s="2">
        <v>29.1</v>
      </c>
      <c r="R3" s="2" t="s">
        <v>37</v>
      </c>
      <c r="S3" s="3" t="s">
        <v>38</v>
      </c>
      <c r="Y3" s="7">
        <v>41548</v>
      </c>
      <c r="Z3" s="3">
        <v>123.5</v>
      </c>
      <c r="AA3" s="3">
        <v>2.0099999999999998</v>
      </c>
      <c r="AB3" s="3">
        <v>1.22</v>
      </c>
      <c r="AC3" s="3">
        <f>Z3*50/1000</f>
        <v>6.1749999999999998</v>
      </c>
      <c r="AD3" s="3" t="s">
        <v>44</v>
      </c>
      <c r="AF3" s="3" t="s">
        <v>45</v>
      </c>
    </row>
    <row r="4" spans="1:43">
      <c r="A4" s="2">
        <v>3.1</v>
      </c>
      <c r="B4" s="2" t="s">
        <v>32</v>
      </c>
      <c r="C4" s="2" t="s">
        <v>39</v>
      </c>
      <c r="D4" s="3">
        <v>-23.831800000000001</v>
      </c>
      <c r="E4" s="3">
        <v>-147.6574</v>
      </c>
      <c r="F4" s="1" t="s">
        <v>40</v>
      </c>
      <c r="G4" s="2" t="s">
        <v>46</v>
      </c>
      <c r="H4" s="27">
        <v>41375</v>
      </c>
      <c r="I4" s="5">
        <v>0.67708333333333337</v>
      </c>
      <c r="J4" s="2">
        <v>25.4</v>
      </c>
      <c r="K4" s="2">
        <v>25.7</v>
      </c>
      <c r="L4" s="6">
        <v>35.700000000000003</v>
      </c>
      <c r="M4" s="2">
        <v>11.5</v>
      </c>
      <c r="N4" s="2" t="s">
        <v>43</v>
      </c>
      <c r="O4" s="2">
        <v>35</v>
      </c>
      <c r="P4" s="2">
        <v>13.2</v>
      </c>
      <c r="Q4" s="2">
        <v>107.9</v>
      </c>
      <c r="R4" s="2" t="s">
        <v>37</v>
      </c>
      <c r="S4" s="3">
        <v>105</v>
      </c>
      <c r="T4" s="3">
        <v>2.16</v>
      </c>
      <c r="U4" s="3">
        <v>0.77</v>
      </c>
      <c r="V4" s="3">
        <f>105*30/1000</f>
        <v>3.15</v>
      </c>
      <c r="W4" s="3" t="s">
        <v>47</v>
      </c>
      <c r="X4" s="3">
        <v>200</v>
      </c>
      <c r="Y4" s="7">
        <v>41548</v>
      </c>
      <c r="Z4" s="3">
        <v>186.5</v>
      </c>
      <c r="AA4" s="3">
        <v>1.97</v>
      </c>
      <c r="AB4" s="3">
        <v>1.03</v>
      </c>
      <c r="AC4" s="3">
        <f>186.5*50/1000</f>
        <v>9.3249999999999993</v>
      </c>
      <c r="AD4" s="3" t="s">
        <v>44</v>
      </c>
      <c r="AE4" s="3">
        <f>V4/AC4</f>
        <v>0.33780160857908847</v>
      </c>
      <c r="AF4" s="3" t="s">
        <v>45</v>
      </c>
      <c r="AL4" s="3" t="s">
        <v>48</v>
      </c>
      <c r="AQ4" s="11">
        <v>41507</v>
      </c>
    </row>
    <row r="5" spans="1:43">
      <c r="A5" s="2">
        <v>4.0999999999999996</v>
      </c>
      <c r="B5" s="2" t="s">
        <v>32</v>
      </c>
      <c r="C5" s="2" t="s">
        <v>49</v>
      </c>
      <c r="D5" s="3">
        <v>-23.828182699999999</v>
      </c>
      <c r="E5" s="3">
        <v>-147.59011989999999</v>
      </c>
      <c r="F5" s="1" t="s">
        <v>40</v>
      </c>
      <c r="G5" s="2" t="s">
        <v>50</v>
      </c>
      <c r="H5" s="27">
        <v>41376</v>
      </c>
      <c r="I5" s="5">
        <v>0.39583333333333331</v>
      </c>
      <c r="J5" s="2">
        <v>25</v>
      </c>
      <c r="K5" s="2">
        <v>25.5</v>
      </c>
      <c r="L5" s="6">
        <v>35.6</v>
      </c>
      <c r="M5" s="2">
        <v>16</v>
      </c>
      <c r="N5" s="2" t="s">
        <v>51</v>
      </c>
      <c r="O5" s="2">
        <v>50</v>
      </c>
      <c r="P5" s="2">
        <v>7</v>
      </c>
      <c r="Q5" s="2">
        <v>23.8</v>
      </c>
      <c r="R5" s="2" t="s">
        <v>37</v>
      </c>
      <c r="S5" s="3" t="s">
        <v>38</v>
      </c>
      <c r="Y5" s="7">
        <v>41548</v>
      </c>
      <c r="Z5" s="3">
        <v>29.5</v>
      </c>
      <c r="AA5" s="3">
        <v>2.0099999999999998</v>
      </c>
      <c r="AB5" s="3">
        <v>0.4</v>
      </c>
      <c r="AC5" s="3">
        <f>29.5*50/1000</f>
        <v>1.4750000000000001</v>
      </c>
      <c r="AD5" s="3" t="s">
        <v>44</v>
      </c>
      <c r="AF5" s="3" t="s">
        <v>45</v>
      </c>
      <c r="AL5" s="3" t="s">
        <v>52</v>
      </c>
    </row>
    <row r="6" spans="1:43">
      <c r="A6" s="2">
        <v>4.2</v>
      </c>
      <c r="B6" s="2" t="s">
        <v>32</v>
      </c>
      <c r="C6" s="2" t="s">
        <v>49</v>
      </c>
      <c r="D6" s="3">
        <v>-23.828182699999999</v>
      </c>
      <c r="E6" s="3">
        <v>-147.59011989999999</v>
      </c>
      <c r="F6" s="2"/>
      <c r="G6" s="2" t="s">
        <v>50</v>
      </c>
      <c r="H6" s="27">
        <v>41376</v>
      </c>
      <c r="I6" s="5">
        <v>0.39583333333333331</v>
      </c>
      <c r="J6" s="2">
        <v>25</v>
      </c>
      <c r="K6" s="2">
        <v>25.5</v>
      </c>
      <c r="L6" s="6">
        <v>35.6</v>
      </c>
      <c r="M6" s="2">
        <v>16</v>
      </c>
      <c r="N6" s="2" t="s">
        <v>51</v>
      </c>
      <c r="O6" s="2">
        <v>50</v>
      </c>
      <c r="P6" s="2">
        <v>7</v>
      </c>
      <c r="Q6" s="2">
        <v>23.8</v>
      </c>
      <c r="R6" s="2" t="s">
        <v>37</v>
      </c>
      <c r="S6" s="3">
        <v>44</v>
      </c>
      <c r="T6" s="3">
        <v>2.06</v>
      </c>
      <c r="U6" s="3">
        <v>0.47</v>
      </c>
      <c r="V6" s="3">
        <f>30*44/1000</f>
        <v>1.32</v>
      </c>
      <c r="W6" s="3" t="s">
        <v>47</v>
      </c>
      <c r="X6" s="3">
        <v>200</v>
      </c>
      <c r="Y6" s="7">
        <v>41640</v>
      </c>
      <c r="Z6" s="3">
        <v>44.3</v>
      </c>
      <c r="AA6" s="3">
        <v>2</v>
      </c>
      <c r="AB6" s="3">
        <v>0.09</v>
      </c>
      <c r="AC6" s="3">
        <f>50*44.3/1000</f>
        <v>2.2149999999999999</v>
      </c>
      <c r="AD6" s="3" t="s">
        <v>44</v>
      </c>
      <c r="AE6" s="3">
        <f>V6/AC6</f>
        <v>0.59593679458239279</v>
      </c>
      <c r="AF6" s="3" t="s">
        <v>53</v>
      </c>
    </row>
    <row r="7" spans="1:43">
      <c r="A7" s="2">
        <v>5.0999999999999996</v>
      </c>
      <c r="B7" s="2" t="s">
        <v>32</v>
      </c>
      <c r="C7" s="2" t="s">
        <v>54</v>
      </c>
      <c r="D7" s="3">
        <v>-23.8962</v>
      </c>
      <c r="E7" s="3">
        <v>-147.7123</v>
      </c>
      <c r="F7" s="1" t="s">
        <v>40</v>
      </c>
      <c r="G7" s="2"/>
      <c r="H7" s="27">
        <v>41376</v>
      </c>
      <c r="I7" s="5">
        <v>0.67708333333333337</v>
      </c>
      <c r="J7" s="2">
        <v>25</v>
      </c>
      <c r="K7" s="2">
        <v>25.6</v>
      </c>
      <c r="L7" s="6">
        <v>35.700000000000003</v>
      </c>
      <c r="M7" s="2">
        <v>14</v>
      </c>
      <c r="N7" s="2"/>
      <c r="O7" s="2">
        <v>20</v>
      </c>
      <c r="P7" s="2">
        <v>5.2</v>
      </c>
      <c r="Q7" s="2">
        <v>14</v>
      </c>
      <c r="R7" s="2" t="s">
        <v>37</v>
      </c>
      <c r="S7" s="3" t="s">
        <v>38</v>
      </c>
      <c r="Y7" s="7">
        <v>41548</v>
      </c>
      <c r="Z7" s="3">
        <v>23.5</v>
      </c>
      <c r="AA7" s="3">
        <v>2.08</v>
      </c>
      <c r="AB7" s="3">
        <v>0.39</v>
      </c>
      <c r="AC7" s="3">
        <f>23.5*50/1000</f>
        <v>1.175</v>
      </c>
      <c r="AD7" s="3" t="s">
        <v>44</v>
      </c>
      <c r="AF7" s="3" t="s">
        <v>45</v>
      </c>
      <c r="AL7" s="3" t="s">
        <v>55</v>
      </c>
    </row>
    <row r="8" spans="1:43">
      <c r="A8" s="2">
        <v>5.2</v>
      </c>
      <c r="B8" s="2" t="s">
        <v>32</v>
      </c>
      <c r="C8" s="2" t="s">
        <v>54</v>
      </c>
      <c r="D8" s="3">
        <v>-23.8962</v>
      </c>
      <c r="E8" s="3">
        <v>-147.7123</v>
      </c>
      <c r="F8" s="1" t="s">
        <v>40</v>
      </c>
      <c r="G8" s="2"/>
      <c r="H8" s="27">
        <v>41376</v>
      </c>
      <c r="I8" s="5">
        <v>0.67708333333333337</v>
      </c>
      <c r="J8" s="2">
        <v>25</v>
      </c>
      <c r="K8" s="2">
        <v>25.6</v>
      </c>
      <c r="L8" s="6">
        <v>35.700000000000003</v>
      </c>
      <c r="M8" s="2">
        <v>14</v>
      </c>
      <c r="N8" s="2"/>
      <c r="O8" s="2">
        <v>20</v>
      </c>
      <c r="P8" s="2">
        <v>5.2</v>
      </c>
      <c r="Q8" s="2">
        <v>14</v>
      </c>
      <c r="R8" s="2" t="s">
        <v>37</v>
      </c>
      <c r="S8" s="3">
        <v>62.6</v>
      </c>
      <c r="T8" s="3">
        <v>2.16</v>
      </c>
      <c r="U8" s="3">
        <v>0.38</v>
      </c>
      <c r="V8" s="3">
        <f>62.6*30/1000</f>
        <v>1.8779999999999999</v>
      </c>
      <c r="W8" s="3" t="s">
        <v>47</v>
      </c>
      <c r="X8" s="3">
        <v>200</v>
      </c>
      <c r="Y8" s="7">
        <v>41640</v>
      </c>
      <c r="Z8" s="3">
        <v>39.4</v>
      </c>
      <c r="AA8" s="3">
        <v>1.87</v>
      </c>
      <c r="AB8" s="3">
        <v>0.25</v>
      </c>
      <c r="AC8" s="3">
        <f>50*39.4/1000</f>
        <v>1.97</v>
      </c>
      <c r="AD8" s="3" t="s">
        <v>44</v>
      </c>
      <c r="AE8" s="3">
        <f>V8/AC8</f>
        <v>0.95329949238578671</v>
      </c>
      <c r="AF8" s="3" t="s">
        <v>53</v>
      </c>
    </row>
    <row r="9" spans="1:43">
      <c r="A9" s="2">
        <v>6.1</v>
      </c>
      <c r="B9" s="2" t="s">
        <v>32</v>
      </c>
      <c r="C9" s="2" t="s">
        <v>54</v>
      </c>
      <c r="D9" s="3">
        <v>-23.8962</v>
      </c>
      <c r="E9" s="3">
        <v>-147.7123</v>
      </c>
      <c r="F9" s="1" t="s">
        <v>40</v>
      </c>
      <c r="G9" s="2" t="s">
        <v>56</v>
      </c>
      <c r="H9" s="27">
        <v>41376</v>
      </c>
      <c r="I9" s="5">
        <v>0.68402777777777779</v>
      </c>
      <c r="J9" s="2">
        <v>24</v>
      </c>
      <c r="K9" s="2">
        <v>25.6</v>
      </c>
      <c r="L9" s="6">
        <v>35.700000000000003</v>
      </c>
      <c r="M9" s="2">
        <v>13</v>
      </c>
      <c r="N9" s="2"/>
      <c r="O9" s="2">
        <v>20</v>
      </c>
      <c r="P9" s="2">
        <v>4.8</v>
      </c>
      <c r="Q9" s="2">
        <v>16.7</v>
      </c>
      <c r="R9" s="2" t="s">
        <v>37</v>
      </c>
      <c r="S9" s="3" t="s">
        <v>38</v>
      </c>
      <c r="Y9" s="7">
        <v>41548</v>
      </c>
      <c r="Z9" s="3">
        <v>37</v>
      </c>
      <c r="AA9" s="3">
        <v>2.0299999999999998</v>
      </c>
      <c r="AB9" s="3">
        <v>1.02</v>
      </c>
      <c r="AC9" s="3">
        <f>37*50/1000</f>
        <v>1.85</v>
      </c>
      <c r="AD9" s="3" t="s">
        <v>44</v>
      </c>
      <c r="AF9" s="3" t="s">
        <v>45</v>
      </c>
      <c r="AL9" s="3" t="s">
        <v>57</v>
      </c>
      <c r="AO9" s="3" t="s">
        <v>58</v>
      </c>
    </row>
    <row r="10" spans="1:43">
      <c r="A10" s="2">
        <v>6.2</v>
      </c>
      <c r="B10" s="2" t="s">
        <v>32</v>
      </c>
      <c r="C10" s="2" t="s">
        <v>54</v>
      </c>
      <c r="D10" s="3">
        <v>-23.8962</v>
      </c>
      <c r="E10" s="3">
        <v>-147.7123</v>
      </c>
      <c r="F10" s="1" t="s">
        <v>40</v>
      </c>
      <c r="G10" s="2" t="s">
        <v>56</v>
      </c>
      <c r="H10" s="27">
        <v>41376</v>
      </c>
      <c r="I10" s="5">
        <v>0.68402777777777779</v>
      </c>
      <c r="J10" s="2">
        <v>24</v>
      </c>
      <c r="K10" s="2">
        <v>25.6</v>
      </c>
      <c r="L10" s="6">
        <v>35.700000000000003</v>
      </c>
      <c r="M10" s="2">
        <v>13</v>
      </c>
      <c r="N10" s="2"/>
      <c r="O10" s="2">
        <v>20</v>
      </c>
      <c r="P10" s="2">
        <v>4.8</v>
      </c>
      <c r="Q10" s="2">
        <v>16.7</v>
      </c>
      <c r="R10" s="2" t="s">
        <v>37</v>
      </c>
      <c r="S10" s="3" t="s">
        <v>59</v>
      </c>
      <c r="Y10" s="7">
        <v>41640</v>
      </c>
      <c r="Z10" s="3">
        <v>22.6</v>
      </c>
      <c r="AA10" s="3">
        <v>2.06</v>
      </c>
      <c r="AB10" s="3">
        <v>0.42</v>
      </c>
      <c r="AC10" s="3">
        <f>22.6*50/1000</f>
        <v>1.1299999999999999</v>
      </c>
      <c r="AD10" s="3" t="s">
        <v>60</v>
      </c>
      <c r="AF10" s="3" t="s">
        <v>53</v>
      </c>
    </row>
    <row r="11" spans="1:43">
      <c r="A11" s="2">
        <v>7.1</v>
      </c>
      <c r="B11" s="2" t="s">
        <v>32</v>
      </c>
      <c r="C11" s="2" t="s">
        <v>54</v>
      </c>
      <c r="D11" s="3">
        <v>-23.8962</v>
      </c>
      <c r="E11" s="3">
        <v>-147.7123</v>
      </c>
      <c r="F11" s="1" t="s">
        <v>40</v>
      </c>
      <c r="G11" s="2"/>
      <c r="H11" s="27">
        <v>41376</v>
      </c>
      <c r="I11" s="5">
        <v>0.69097222222222221</v>
      </c>
      <c r="J11" s="2">
        <v>24</v>
      </c>
      <c r="K11" s="2">
        <v>25.6</v>
      </c>
      <c r="L11" s="6">
        <v>35.700000000000003</v>
      </c>
      <c r="M11" s="2">
        <v>13</v>
      </c>
      <c r="N11" s="2"/>
      <c r="O11" s="2">
        <v>20</v>
      </c>
      <c r="P11" s="2">
        <v>4.4000000000000004</v>
      </c>
      <c r="Q11" s="2">
        <v>12.1</v>
      </c>
      <c r="R11" s="2" t="s">
        <v>37</v>
      </c>
      <c r="S11" s="3" t="s">
        <v>38</v>
      </c>
      <c r="Y11" s="7">
        <v>41548</v>
      </c>
      <c r="Z11" s="3">
        <v>36.5</v>
      </c>
      <c r="AA11" s="3">
        <v>2</v>
      </c>
      <c r="AB11" s="3">
        <v>1.32</v>
      </c>
      <c r="AC11" s="3">
        <f>36.5*50/1000</f>
        <v>1.825</v>
      </c>
      <c r="AD11" s="3" t="s">
        <v>44</v>
      </c>
      <c r="AF11" s="3" t="s">
        <v>45</v>
      </c>
      <c r="AL11" s="3" t="s">
        <v>61</v>
      </c>
      <c r="AO11" s="3" t="s">
        <v>62</v>
      </c>
      <c r="AQ11" s="3" t="s">
        <v>63</v>
      </c>
    </row>
    <row r="12" spans="1:43">
      <c r="A12" s="2">
        <v>7.2</v>
      </c>
      <c r="B12" s="2" t="s">
        <v>32</v>
      </c>
      <c r="C12" s="2" t="s">
        <v>54</v>
      </c>
      <c r="D12" s="3">
        <v>-23.8962</v>
      </c>
      <c r="E12" s="3">
        <v>-147.7123</v>
      </c>
      <c r="F12" s="1" t="s">
        <v>40</v>
      </c>
      <c r="G12" s="2"/>
      <c r="H12" s="27">
        <v>41376</v>
      </c>
      <c r="I12" s="5">
        <v>0.69097222222222221</v>
      </c>
      <c r="J12" s="2">
        <v>24</v>
      </c>
      <c r="K12" s="2">
        <v>25.6</v>
      </c>
      <c r="L12" s="6">
        <v>35.700000000000003</v>
      </c>
      <c r="M12" s="2">
        <v>13</v>
      </c>
      <c r="N12" s="2"/>
      <c r="O12" s="2">
        <v>20</v>
      </c>
      <c r="P12" s="2">
        <v>4.4000000000000004</v>
      </c>
      <c r="Q12" s="2">
        <v>12.1</v>
      </c>
      <c r="R12" s="2" t="s">
        <v>37</v>
      </c>
      <c r="S12" s="3">
        <v>15.6</v>
      </c>
      <c r="T12" s="3">
        <v>2.1800000000000002</v>
      </c>
      <c r="U12" s="3">
        <v>0.19</v>
      </c>
      <c r="V12" s="3">
        <f>15.6*30/1000</f>
        <v>0.46800000000000003</v>
      </c>
      <c r="Y12" s="7">
        <v>41640</v>
      </c>
      <c r="Z12" s="3">
        <v>7</v>
      </c>
      <c r="AA12" s="3">
        <v>2.3199999999999998</v>
      </c>
      <c r="AB12" s="3">
        <v>0.24</v>
      </c>
      <c r="AC12" s="3">
        <f>7*50/1000</f>
        <v>0.35</v>
      </c>
      <c r="AD12" s="3" t="s">
        <v>64</v>
      </c>
      <c r="AE12" s="3">
        <f>V12/AC12</f>
        <v>1.3371428571428574</v>
      </c>
      <c r="AF12" s="3" t="s">
        <v>53</v>
      </c>
    </row>
    <row r="13" spans="1:43">
      <c r="A13" s="2">
        <v>8.1</v>
      </c>
      <c r="B13" s="2" t="s">
        <v>32</v>
      </c>
      <c r="C13" s="2" t="s">
        <v>54</v>
      </c>
      <c r="D13" s="3">
        <v>-23.8962</v>
      </c>
      <c r="E13" s="3">
        <v>-147.7123</v>
      </c>
      <c r="F13" s="43" t="s">
        <v>65</v>
      </c>
      <c r="G13" s="2" t="s">
        <v>66</v>
      </c>
      <c r="H13" s="27">
        <v>41376</v>
      </c>
      <c r="I13" s="5">
        <v>0.69444444444444453</v>
      </c>
      <c r="J13" s="2">
        <v>24</v>
      </c>
      <c r="K13" s="2">
        <v>25.6</v>
      </c>
      <c r="L13" s="6">
        <v>35.700000000000003</v>
      </c>
      <c r="M13" s="2">
        <v>13</v>
      </c>
      <c r="N13" s="2" t="s">
        <v>67</v>
      </c>
      <c r="O13" s="2">
        <v>20</v>
      </c>
      <c r="P13" s="2" t="s">
        <v>42</v>
      </c>
      <c r="Q13" s="2" t="s">
        <v>42</v>
      </c>
      <c r="R13" s="2" t="s">
        <v>37</v>
      </c>
      <c r="S13" s="3" t="s">
        <v>38</v>
      </c>
      <c r="Y13" s="7">
        <v>41548</v>
      </c>
      <c r="Z13" s="3">
        <v>6.7</v>
      </c>
      <c r="AA13" s="3">
        <v>2.08</v>
      </c>
      <c r="AB13" s="3">
        <v>0.96</v>
      </c>
      <c r="AC13" s="3">
        <f>6.7*50/1000</f>
        <v>0.33500000000000002</v>
      </c>
      <c r="AD13" s="3" t="s">
        <v>64</v>
      </c>
      <c r="AF13" s="3" t="s">
        <v>45</v>
      </c>
      <c r="AL13" s="3" t="s">
        <v>68</v>
      </c>
      <c r="AO13" s="3" t="s">
        <v>69</v>
      </c>
    </row>
    <row r="14" spans="1:43">
      <c r="A14" s="2">
        <v>8.1999999999999993</v>
      </c>
      <c r="B14" s="2" t="s">
        <v>32</v>
      </c>
      <c r="C14" s="2" t="s">
        <v>54</v>
      </c>
      <c r="D14" s="3">
        <v>-23.8962</v>
      </c>
      <c r="E14" s="3">
        <v>-147.7123</v>
      </c>
      <c r="F14" s="43" t="s">
        <v>70</v>
      </c>
      <c r="G14" s="2" t="s">
        <v>66</v>
      </c>
      <c r="H14" s="27">
        <v>41376</v>
      </c>
      <c r="I14" s="5">
        <v>0.69444444444444453</v>
      </c>
      <c r="J14" s="2">
        <v>24</v>
      </c>
      <c r="K14" s="2">
        <v>25.6</v>
      </c>
      <c r="L14" s="6">
        <v>35.700000000000003</v>
      </c>
      <c r="M14" s="2">
        <v>13</v>
      </c>
      <c r="N14" s="2" t="s">
        <v>67</v>
      </c>
      <c r="O14" s="2">
        <v>20</v>
      </c>
      <c r="P14" s="2" t="s">
        <v>42</v>
      </c>
      <c r="Q14" s="2" t="s">
        <v>42</v>
      </c>
      <c r="R14" s="2" t="s">
        <v>37</v>
      </c>
      <c r="S14" s="3">
        <v>19.399999999999999</v>
      </c>
      <c r="T14" s="3">
        <v>2.25</v>
      </c>
      <c r="U14" s="3">
        <v>0.54</v>
      </c>
      <c r="V14" s="3">
        <f>19.4*30/1000</f>
        <v>0.58199999999999996</v>
      </c>
      <c r="W14" s="3" t="s">
        <v>64</v>
      </c>
      <c r="X14" s="3">
        <v>200</v>
      </c>
      <c r="Y14" s="7">
        <v>41640</v>
      </c>
      <c r="Z14" s="3">
        <v>11</v>
      </c>
      <c r="AA14" s="3">
        <v>2.2000000000000002</v>
      </c>
      <c r="AB14" s="3">
        <v>0.03</v>
      </c>
      <c r="AC14" s="3">
        <f>50*Z14/1000</f>
        <v>0.55000000000000004</v>
      </c>
      <c r="AD14" s="3" t="s">
        <v>64</v>
      </c>
      <c r="AE14" s="3">
        <f>V14/AC14</f>
        <v>1.0581818181818181</v>
      </c>
      <c r="AF14" s="3" t="s">
        <v>53</v>
      </c>
    </row>
    <row r="15" spans="1:43">
      <c r="A15" s="2">
        <v>9.1</v>
      </c>
      <c r="B15" s="2" t="s">
        <v>32</v>
      </c>
      <c r="C15" s="2" t="s">
        <v>71</v>
      </c>
      <c r="D15" s="3" t="s">
        <v>72</v>
      </c>
      <c r="F15" s="1" t="s">
        <v>40</v>
      </c>
      <c r="G15" s="2" t="s">
        <v>73</v>
      </c>
      <c r="H15" s="4">
        <v>41377</v>
      </c>
      <c r="I15" s="5">
        <v>0.38194444444444442</v>
      </c>
      <c r="J15" s="2">
        <v>24</v>
      </c>
      <c r="K15" s="2">
        <v>25.5</v>
      </c>
      <c r="L15" s="6">
        <v>35.700000000000003</v>
      </c>
      <c r="M15" s="2">
        <v>16.5</v>
      </c>
      <c r="N15" s="2"/>
      <c r="O15" s="2">
        <v>20</v>
      </c>
      <c r="P15" s="2">
        <v>3.9</v>
      </c>
      <c r="Q15" s="2">
        <v>9.9</v>
      </c>
      <c r="R15" s="2" t="s">
        <v>37</v>
      </c>
      <c r="S15" s="3" t="s">
        <v>38</v>
      </c>
      <c r="Y15" s="7">
        <v>41548</v>
      </c>
      <c r="Z15" s="3">
        <v>9.3000000000000007</v>
      </c>
      <c r="AA15" s="3">
        <v>2.2599999999999998</v>
      </c>
      <c r="AB15" s="3">
        <v>1.3</v>
      </c>
      <c r="AC15" s="3">
        <f>9.3*50/1000</f>
        <v>0.46500000000000008</v>
      </c>
      <c r="AD15" s="3" t="s">
        <v>64</v>
      </c>
      <c r="AF15" s="3" t="s">
        <v>45</v>
      </c>
      <c r="AL15" s="3" t="s">
        <v>74</v>
      </c>
      <c r="AO15" s="3" t="s">
        <v>75</v>
      </c>
    </row>
    <row r="16" spans="1:43">
      <c r="A16" s="2">
        <v>9.1999999999999993</v>
      </c>
      <c r="B16" s="2" t="s">
        <v>32</v>
      </c>
      <c r="C16" s="2" t="s">
        <v>71</v>
      </c>
      <c r="D16" s="3">
        <v>-23.912299999999998</v>
      </c>
      <c r="E16" s="3">
        <v>-147.6609</v>
      </c>
      <c r="F16" s="1" t="s">
        <v>40</v>
      </c>
      <c r="G16" s="2" t="s">
        <v>73</v>
      </c>
      <c r="H16" s="4">
        <v>41377</v>
      </c>
      <c r="I16" s="5">
        <v>0.38194444444444442</v>
      </c>
      <c r="J16" s="2">
        <v>24</v>
      </c>
      <c r="K16" s="2">
        <v>25.5</v>
      </c>
      <c r="L16" s="6">
        <v>35.700000000000003</v>
      </c>
      <c r="M16" s="2">
        <v>16.5</v>
      </c>
      <c r="N16" s="2"/>
      <c r="O16" s="2">
        <v>20</v>
      </c>
      <c r="P16" s="2">
        <v>3.9</v>
      </c>
      <c r="Q16" s="2">
        <v>9.9</v>
      </c>
      <c r="R16" s="2" t="s">
        <v>37</v>
      </c>
      <c r="S16" s="3" t="s">
        <v>38</v>
      </c>
      <c r="Y16" s="8">
        <v>41609</v>
      </c>
      <c r="Z16" s="3" t="s">
        <v>38</v>
      </c>
      <c r="AD16" s="3" t="s">
        <v>76</v>
      </c>
      <c r="AF16" s="3" t="s">
        <v>45</v>
      </c>
    </row>
    <row r="17" spans="1:43">
      <c r="A17" s="2">
        <v>10.1</v>
      </c>
      <c r="B17" s="2" t="s">
        <v>32</v>
      </c>
      <c r="C17" s="2" t="s">
        <v>71</v>
      </c>
      <c r="D17" s="3">
        <v>-23.912299999999998</v>
      </c>
      <c r="E17" s="3">
        <v>-147.6609</v>
      </c>
      <c r="F17" s="1" t="s">
        <v>40</v>
      </c>
      <c r="G17" s="2"/>
      <c r="H17" s="4">
        <v>41377</v>
      </c>
      <c r="I17" s="5">
        <v>0.38541666666666669</v>
      </c>
      <c r="J17" s="2">
        <v>24</v>
      </c>
      <c r="K17" s="2">
        <v>25.5</v>
      </c>
      <c r="L17" s="6">
        <v>35.700000000000003</v>
      </c>
      <c r="M17" s="2">
        <v>15.6</v>
      </c>
      <c r="N17" s="2"/>
      <c r="O17" s="2">
        <v>35</v>
      </c>
      <c r="P17" s="2">
        <v>7.8</v>
      </c>
      <c r="Q17" s="2">
        <v>24.7</v>
      </c>
      <c r="R17" s="2" t="s">
        <v>37</v>
      </c>
      <c r="S17" s="3" t="s">
        <v>38</v>
      </c>
      <c r="Y17" s="7">
        <v>41548</v>
      </c>
      <c r="Z17" s="3">
        <v>23.5</v>
      </c>
      <c r="AA17" s="3">
        <v>1.96</v>
      </c>
      <c r="AB17" s="3">
        <v>0.16</v>
      </c>
      <c r="AC17" s="3">
        <f>23.5*50/1000</f>
        <v>1.175</v>
      </c>
      <c r="AD17" s="3" t="s">
        <v>44</v>
      </c>
      <c r="AE17" s="3">
        <f>1.4/AC17</f>
        <v>1.1914893617021276</v>
      </c>
      <c r="AF17" s="3" t="s">
        <v>45</v>
      </c>
      <c r="AL17" s="3" t="s">
        <v>77</v>
      </c>
      <c r="AO17" s="3" t="s">
        <v>78</v>
      </c>
    </row>
    <row r="18" spans="1:43">
      <c r="A18" s="2">
        <v>10.199999999999999</v>
      </c>
      <c r="B18" s="2" t="s">
        <v>32</v>
      </c>
      <c r="C18" s="2" t="s">
        <v>71</v>
      </c>
      <c r="D18" s="3">
        <v>-23.912299999999998</v>
      </c>
      <c r="E18" s="3">
        <v>-147.6609</v>
      </c>
      <c r="F18" s="1" t="s">
        <v>40</v>
      </c>
      <c r="G18" s="2"/>
      <c r="H18" s="4">
        <v>41377</v>
      </c>
      <c r="I18" s="5">
        <v>0.38541666666666669</v>
      </c>
      <c r="J18" s="2">
        <v>24</v>
      </c>
      <c r="K18" s="2">
        <v>25.5</v>
      </c>
      <c r="L18" s="6">
        <v>35.700000000000003</v>
      </c>
      <c r="M18" s="2">
        <v>15.6</v>
      </c>
      <c r="N18" s="2"/>
      <c r="O18" s="2">
        <v>35</v>
      </c>
      <c r="P18" s="2">
        <v>7.8</v>
      </c>
      <c r="Q18" s="2">
        <v>24.7</v>
      </c>
      <c r="R18" s="2" t="s">
        <v>37</v>
      </c>
      <c r="S18" s="3">
        <v>47.1</v>
      </c>
      <c r="T18" s="3">
        <v>2.14</v>
      </c>
      <c r="U18" s="3">
        <v>1.67</v>
      </c>
      <c r="V18" s="3">
        <f>47.1*30/1000</f>
        <v>1.413</v>
      </c>
      <c r="W18" s="3" t="s">
        <v>47</v>
      </c>
      <c r="Y18" s="8">
        <v>41609</v>
      </c>
      <c r="Z18" s="3" t="s">
        <v>79</v>
      </c>
      <c r="AF18" s="3" t="s">
        <v>45</v>
      </c>
    </row>
    <row r="19" spans="1:43">
      <c r="A19" s="2">
        <v>11.1</v>
      </c>
      <c r="B19" s="2" t="s">
        <v>32</v>
      </c>
      <c r="C19" s="2" t="s">
        <v>71</v>
      </c>
      <c r="D19" s="3">
        <v>-23.912299999999998</v>
      </c>
      <c r="E19" s="3">
        <v>-147.6609</v>
      </c>
      <c r="F19" s="1" t="s">
        <v>40</v>
      </c>
      <c r="G19" s="2"/>
      <c r="H19" s="4">
        <v>41377</v>
      </c>
      <c r="I19" s="5">
        <v>0.3923611111111111</v>
      </c>
      <c r="J19" s="2">
        <v>24</v>
      </c>
      <c r="K19" s="2">
        <v>25.5</v>
      </c>
      <c r="L19" s="6">
        <v>35.700000000000003</v>
      </c>
      <c r="M19" s="2">
        <v>17</v>
      </c>
      <c r="N19" s="2"/>
      <c r="O19" s="2">
        <v>35</v>
      </c>
      <c r="P19" s="2">
        <v>7.7</v>
      </c>
      <c r="Q19" s="2">
        <v>36.200000000000003</v>
      </c>
      <c r="R19" s="2" t="s">
        <v>37</v>
      </c>
      <c r="S19" s="3" t="s">
        <v>38</v>
      </c>
      <c r="Y19" s="7">
        <v>41548</v>
      </c>
      <c r="Z19" s="3">
        <v>10.5</v>
      </c>
      <c r="AA19" s="3">
        <v>1.83</v>
      </c>
      <c r="AB19" s="3">
        <v>0.14000000000000001</v>
      </c>
      <c r="AC19" s="3">
        <f>Z19*50/1000</f>
        <v>0.52500000000000002</v>
      </c>
      <c r="AD19" s="3" t="s">
        <v>64</v>
      </c>
      <c r="AF19" s="3" t="s">
        <v>45</v>
      </c>
      <c r="AL19" s="3" t="s">
        <v>80</v>
      </c>
      <c r="AO19" s="3" t="s">
        <v>81</v>
      </c>
    </row>
    <row r="20" spans="1:43">
      <c r="A20" s="2">
        <v>11.2</v>
      </c>
      <c r="B20" s="2" t="s">
        <v>32</v>
      </c>
      <c r="C20" s="2" t="s">
        <v>71</v>
      </c>
      <c r="D20" s="3">
        <v>-23.912299999999998</v>
      </c>
      <c r="E20" s="3">
        <v>-147.6609</v>
      </c>
      <c r="F20" s="1" t="s">
        <v>40</v>
      </c>
      <c r="G20" s="2"/>
      <c r="H20" s="4">
        <v>41377</v>
      </c>
      <c r="I20" s="5">
        <v>0.3923611111111111</v>
      </c>
      <c r="J20" s="2">
        <v>24</v>
      </c>
      <c r="K20" s="2">
        <v>25.5</v>
      </c>
      <c r="L20" s="6">
        <v>35.700000000000003</v>
      </c>
      <c r="M20" s="2">
        <v>17</v>
      </c>
      <c r="N20" s="2"/>
      <c r="O20" s="2">
        <v>35</v>
      </c>
      <c r="P20" s="2">
        <v>7.7</v>
      </c>
      <c r="Q20" s="2">
        <v>36.200000000000003</v>
      </c>
      <c r="R20" s="2" t="s">
        <v>37</v>
      </c>
      <c r="S20" s="3">
        <v>12.3</v>
      </c>
      <c r="T20" s="3">
        <v>2.14</v>
      </c>
      <c r="U20" s="3">
        <v>0.45</v>
      </c>
      <c r="V20" s="3">
        <f>12.3*30/1000</f>
        <v>0.36899999999999999</v>
      </c>
      <c r="W20" s="3" t="s">
        <v>76</v>
      </c>
      <c r="Y20" s="8">
        <v>41609</v>
      </c>
      <c r="Z20" s="3">
        <v>19.5</v>
      </c>
      <c r="AA20" s="3">
        <v>1.64</v>
      </c>
      <c r="AB20" s="3">
        <v>0.76</v>
      </c>
      <c r="AC20" s="3">
        <f>19.5*50/1000</f>
        <v>0.97499999999999998</v>
      </c>
      <c r="AD20" s="3" t="s">
        <v>44</v>
      </c>
      <c r="AE20" s="3">
        <f>V20/AC20</f>
        <v>0.37846153846153846</v>
      </c>
      <c r="AF20" s="3" t="s">
        <v>45</v>
      </c>
    </row>
    <row r="21" spans="1:43">
      <c r="A21" s="2">
        <v>12.1</v>
      </c>
      <c r="B21" s="2" t="s">
        <v>32</v>
      </c>
      <c r="C21" s="2" t="s">
        <v>54</v>
      </c>
      <c r="D21" s="3">
        <v>-23.8962</v>
      </c>
      <c r="E21" s="3">
        <v>-147.7123</v>
      </c>
      <c r="F21" s="28" t="s">
        <v>82</v>
      </c>
      <c r="G21" s="2" t="s">
        <v>83</v>
      </c>
      <c r="H21" s="4">
        <v>41377</v>
      </c>
      <c r="I21" s="5">
        <v>0.65625</v>
      </c>
      <c r="J21" s="2">
        <v>25</v>
      </c>
      <c r="K21" s="2">
        <v>25.6</v>
      </c>
      <c r="L21" s="6">
        <v>35.700000000000003</v>
      </c>
      <c r="M21" s="2">
        <v>13</v>
      </c>
      <c r="N21" s="2" t="s">
        <v>84</v>
      </c>
      <c r="O21" s="2">
        <v>35</v>
      </c>
      <c r="P21" s="2">
        <v>11.6</v>
      </c>
      <c r="Q21" s="2">
        <v>86.9</v>
      </c>
      <c r="R21" s="2" t="s">
        <v>37</v>
      </c>
      <c r="S21" s="3">
        <v>49</v>
      </c>
      <c r="T21" s="3">
        <v>2.1</v>
      </c>
      <c r="U21" s="3">
        <v>1.03</v>
      </c>
      <c r="V21" s="3">
        <f>S21*30/1000</f>
        <v>1.47</v>
      </c>
      <c r="W21" s="3" t="s">
        <v>47</v>
      </c>
      <c r="Y21" s="7">
        <v>41548</v>
      </c>
      <c r="Z21" s="3">
        <v>24.8</v>
      </c>
      <c r="AA21" s="3">
        <v>1.88</v>
      </c>
      <c r="AB21" s="3">
        <v>0.24</v>
      </c>
      <c r="AC21" s="3">
        <f t="shared" ref="AC21:AC35" si="0">Z21*50/1000</f>
        <v>1.24</v>
      </c>
      <c r="AD21" s="3" t="s">
        <v>44</v>
      </c>
      <c r="AE21" s="3">
        <f>V21/AC21</f>
        <v>1.185483870967742</v>
      </c>
      <c r="AF21" s="3" t="s">
        <v>45</v>
      </c>
      <c r="AL21" s="3" t="s">
        <v>85</v>
      </c>
      <c r="AO21" s="3" t="s">
        <v>86</v>
      </c>
    </row>
    <row r="22" spans="1:43">
      <c r="A22" s="2">
        <v>12.2</v>
      </c>
      <c r="B22" s="2" t="s">
        <v>32</v>
      </c>
      <c r="C22" s="2" t="s">
        <v>54</v>
      </c>
      <c r="D22" s="3">
        <v>-23.8962</v>
      </c>
      <c r="E22" s="3">
        <v>-147.7123</v>
      </c>
      <c r="F22" s="1" t="s">
        <v>82</v>
      </c>
      <c r="G22" s="2" t="s">
        <v>83</v>
      </c>
      <c r="H22" s="4">
        <v>41377</v>
      </c>
      <c r="I22" s="5">
        <v>0.65625</v>
      </c>
      <c r="J22" s="2">
        <v>25</v>
      </c>
      <c r="K22" s="2">
        <v>25.6</v>
      </c>
      <c r="L22" s="6">
        <v>35.700000000000003</v>
      </c>
      <c r="M22" s="2">
        <v>13</v>
      </c>
      <c r="N22" s="2" t="s">
        <v>84</v>
      </c>
      <c r="O22" s="2">
        <v>35</v>
      </c>
      <c r="P22" s="2">
        <v>11.6</v>
      </c>
      <c r="Q22" s="2">
        <v>86.9</v>
      </c>
      <c r="R22" s="2" t="s">
        <v>37</v>
      </c>
      <c r="S22" s="3">
        <v>31.2</v>
      </c>
      <c r="T22" s="3">
        <v>2.27</v>
      </c>
      <c r="U22" s="3">
        <v>0.38</v>
      </c>
      <c r="V22" s="3">
        <f>30*31.2/1000</f>
        <v>0.93600000000000005</v>
      </c>
      <c r="W22" s="3" t="s">
        <v>60</v>
      </c>
      <c r="X22" s="3">
        <v>200</v>
      </c>
      <c r="Y22" s="7">
        <v>41609</v>
      </c>
      <c r="Z22" s="3" t="s">
        <v>79</v>
      </c>
      <c r="AF22" s="3" t="s">
        <v>45</v>
      </c>
    </row>
    <row r="23" spans="1:43">
      <c r="A23" s="2">
        <v>13.1</v>
      </c>
      <c r="B23" s="2" t="s">
        <v>32</v>
      </c>
      <c r="C23" s="2" t="s">
        <v>87</v>
      </c>
      <c r="D23" s="3">
        <v>-23.910799999999998</v>
      </c>
      <c r="E23" s="3">
        <v>-147.68430000000001</v>
      </c>
      <c r="F23" s="1" t="s">
        <v>40</v>
      </c>
      <c r="G23" s="2" t="s">
        <v>73</v>
      </c>
      <c r="H23" s="4">
        <v>41377</v>
      </c>
      <c r="I23" s="5">
        <v>0.46527777777777773</v>
      </c>
      <c r="J23" s="2">
        <v>24</v>
      </c>
      <c r="K23" s="2">
        <v>25.5</v>
      </c>
      <c r="L23" s="6">
        <v>35.700000000000003</v>
      </c>
      <c r="M23" s="2">
        <v>14.5</v>
      </c>
      <c r="N23" s="2" t="s">
        <v>88</v>
      </c>
      <c r="O23" s="2">
        <v>40</v>
      </c>
      <c r="P23" s="2">
        <v>4.7</v>
      </c>
      <c r="Q23" s="2">
        <v>9.1</v>
      </c>
      <c r="R23" s="2" t="s">
        <v>37</v>
      </c>
      <c r="S23" s="3">
        <v>7.9</v>
      </c>
      <c r="T23" s="3">
        <v>1.93</v>
      </c>
      <c r="U23" s="3">
        <v>0.47</v>
      </c>
      <c r="V23" s="3">
        <f>S23*30/1000</f>
        <v>0.23699999999999999</v>
      </c>
      <c r="Y23" s="7">
        <v>41548</v>
      </c>
      <c r="Z23" s="3">
        <v>12.2</v>
      </c>
      <c r="AA23" s="3">
        <v>1.91</v>
      </c>
      <c r="AB23" s="3">
        <v>0.04</v>
      </c>
      <c r="AC23" s="3">
        <f t="shared" si="0"/>
        <v>0.61</v>
      </c>
      <c r="AD23" s="3" t="s">
        <v>60</v>
      </c>
      <c r="AE23" s="3">
        <f>V23/AC23</f>
        <v>0.38852459016393442</v>
      </c>
      <c r="AF23" s="3" t="s">
        <v>45</v>
      </c>
      <c r="AL23" s="3" t="s">
        <v>89</v>
      </c>
      <c r="AO23" s="3" t="s">
        <v>90</v>
      </c>
    </row>
    <row r="24" spans="1:43">
      <c r="A24" s="2">
        <v>13.2</v>
      </c>
      <c r="B24" s="2" t="s">
        <v>32</v>
      </c>
      <c r="C24" s="2" t="s">
        <v>91</v>
      </c>
      <c r="D24" s="3">
        <v>-23.910799999999998</v>
      </c>
      <c r="E24" s="3">
        <v>-147.68430000000001</v>
      </c>
      <c r="F24" s="1" t="s">
        <v>40</v>
      </c>
      <c r="G24" s="2" t="s">
        <v>92</v>
      </c>
      <c r="H24" s="4">
        <v>41377</v>
      </c>
      <c r="I24" s="5">
        <v>0.46527777777777773</v>
      </c>
      <c r="J24" s="2">
        <v>24</v>
      </c>
      <c r="K24" s="2">
        <v>25.5</v>
      </c>
      <c r="L24" s="6">
        <v>35.700000000000003</v>
      </c>
      <c r="M24" s="2">
        <v>14.5</v>
      </c>
      <c r="N24" s="2" t="s">
        <v>88</v>
      </c>
      <c r="O24" s="2">
        <v>40</v>
      </c>
      <c r="P24" s="2">
        <v>4.7</v>
      </c>
      <c r="Q24" s="2">
        <v>9.1</v>
      </c>
      <c r="R24" s="2" t="s">
        <v>37</v>
      </c>
      <c r="Y24" s="7"/>
    </row>
    <row r="25" spans="1:43">
      <c r="A25" s="2">
        <v>14.1</v>
      </c>
      <c r="B25" s="2" t="s">
        <v>32</v>
      </c>
      <c r="C25" s="2" t="s">
        <v>87</v>
      </c>
      <c r="D25" s="3">
        <v>-23.910799999999998</v>
      </c>
      <c r="E25" s="3">
        <v>-147.68430000000001</v>
      </c>
      <c r="F25" s="1" t="s">
        <v>40</v>
      </c>
      <c r="G25" s="2"/>
      <c r="H25" s="4">
        <v>41377</v>
      </c>
      <c r="I25" s="5">
        <v>0.46875</v>
      </c>
      <c r="J25" s="2">
        <v>24</v>
      </c>
      <c r="K25" s="2">
        <v>25.5</v>
      </c>
      <c r="L25" s="6">
        <v>35.700000000000003</v>
      </c>
      <c r="M25" s="2">
        <v>14.5</v>
      </c>
      <c r="N25" s="2" t="s">
        <v>88</v>
      </c>
      <c r="O25" s="2">
        <v>40</v>
      </c>
      <c r="P25" s="2">
        <v>15.9</v>
      </c>
      <c r="Q25" s="2">
        <v>165</v>
      </c>
      <c r="R25" s="2" t="s">
        <v>37</v>
      </c>
      <c r="S25" s="3">
        <v>12.1</v>
      </c>
      <c r="T25" s="3">
        <v>2.09</v>
      </c>
      <c r="U25" s="3">
        <v>0.27</v>
      </c>
      <c r="V25" s="3">
        <f t="shared" ref="V25:V35" si="1">S25*30/1000</f>
        <v>0.36299999999999999</v>
      </c>
      <c r="Y25" s="7">
        <v>41548</v>
      </c>
      <c r="Z25" s="3">
        <v>8.5</v>
      </c>
      <c r="AA25" s="3">
        <v>1.75</v>
      </c>
      <c r="AB25" s="3">
        <v>0.08</v>
      </c>
      <c r="AC25" s="3">
        <f t="shared" si="0"/>
        <v>0.42499999999999999</v>
      </c>
      <c r="AD25" s="3" t="s">
        <v>64</v>
      </c>
      <c r="AE25" s="3">
        <f>V25/AC25</f>
        <v>0.85411764705882354</v>
      </c>
      <c r="AF25" s="3" t="s">
        <v>45</v>
      </c>
      <c r="AL25" s="3" t="s">
        <v>93</v>
      </c>
      <c r="AO25" s="3" t="s">
        <v>94</v>
      </c>
    </row>
    <row r="26" spans="1:43">
      <c r="A26" s="2">
        <v>14.2</v>
      </c>
      <c r="B26" s="2" t="s">
        <v>32</v>
      </c>
      <c r="C26" s="2" t="s">
        <v>91</v>
      </c>
      <c r="D26" s="3">
        <v>-23.910799999999998</v>
      </c>
      <c r="E26" s="3">
        <v>-147.68430000000001</v>
      </c>
      <c r="F26" s="1" t="s">
        <v>40</v>
      </c>
      <c r="H26" s="4">
        <v>41377</v>
      </c>
      <c r="I26" s="5">
        <v>0.46875</v>
      </c>
      <c r="J26" s="2">
        <v>24</v>
      </c>
      <c r="K26" s="2">
        <v>25.5</v>
      </c>
      <c r="L26" s="6">
        <v>35.700000000000003</v>
      </c>
      <c r="M26" s="2">
        <v>14.5</v>
      </c>
      <c r="N26" s="2" t="s">
        <v>88</v>
      </c>
      <c r="O26" s="2">
        <v>40</v>
      </c>
      <c r="P26" s="2">
        <v>15.9</v>
      </c>
      <c r="Q26" s="2">
        <v>165</v>
      </c>
      <c r="R26" s="2" t="s">
        <v>37</v>
      </c>
      <c r="Y26" s="8">
        <v>41609</v>
      </c>
    </row>
    <row r="27" spans="1:43">
      <c r="A27" s="2">
        <v>15.1</v>
      </c>
      <c r="B27" s="2" t="s">
        <v>32</v>
      </c>
      <c r="C27" s="2" t="s">
        <v>87</v>
      </c>
      <c r="D27" s="3">
        <v>-23.910799999999998</v>
      </c>
      <c r="E27" s="3">
        <v>-147.68430000000001</v>
      </c>
      <c r="F27" s="28" t="s">
        <v>95</v>
      </c>
      <c r="G27" s="3" t="s">
        <v>96</v>
      </c>
      <c r="H27" s="4">
        <v>41377</v>
      </c>
      <c r="I27" s="9">
        <v>0.47222222222222227</v>
      </c>
      <c r="J27" s="2">
        <v>24</v>
      </c>
      <c r="K27" s="2">
        <v>25.5</v>
      </c>
      <c r="L27" s="6">
        <v>35.700000000000003</v>
      </c>
      <c r="M27" s="2">
        <v>14.5</v>
      </c>
      <c r="N27" s="2" t="s">
        <v>88</v>
      </c>
      <c r="O27" s="2">
        <v>40</v>
      </c>
      <c r="P27" s="2">
        <v>13.6</v>
      </c>
      <c r="Q27" s="2">
        <v>75.599999999999994</v>
      </c>
      <c r="R27" s="2" t="s">
        <v>37</v>
      </c>
      <c r="S27" s="3">
        <v>6</v>
      </c>
      <c r="T27" s="3">
        <v>2.2200000000000002</v>
      </c>
      <c r="U27" s="3">
        <v>0.14000000000000001</v>
      </c>
      <c r="V27" s="3">
        <f t="shared" si="1"/>
        <v>0.18</v>
      </c>
      <c r="Y27" s="7">
        <v>41548</v>
      </c>
      <c r="Z27" s="3">
        <v>6.8</v>
      </c>
      <c r="AA27" s="3">
        <v>1.78</v>
      </c>
      <c r="AB27" s="3">
        <v>2.35</v>
      </c>
      <c r="AC27" s="3">
        <f t="shared" si="0"/>
        <v>0.34</v>
      </c>
      <c r="AD27" s="3" t="s">
        <v>64</v>
      </c>
      <c r="AE27" s="3">
        <f>V27/AC27</f>
        <v>0.52941176470588225</v>
      </c>
      <c r="AF27" s="3" t="s">
        <v>45</v>
      </c>
    </row>
    <row r="28" spans="1:43">
      <c r="A28" s="2">
        <v>15.2</v>
      </c>
      <c r="B28" s="2" t="s">
        <v>32</v>
      </c>
      <c r="C28" s="2" t="s">
        <v>91</v>
      </c>
      <c r="D28" s="3">
        <v>-23.910799999999998</v>
      </c>
      <c r="E28" s="3">
        <v>-147.68430000000001</v>
      </c>
      <c r="F28" s="43" t="s">
        <v>70</v>
      </c>
      <c r="H28" s="4">
        <v>41377</v>
      </c>
      <c r="I28" s="9">
        <v>0.47222222222222227</v>
      </c>
      <c r="J28" s="2">
        <v>24</v>
      </c>
      <c r="K28" s="2">
        <v>25.5</v>
      </c>
      <c r="L28" s="6">
        <v>35.700000000000003</v>
      </c>
      <c r="M28" s="2">
        <v>14.5</v>
      </c>
      <c r="N28" s="2" t="s">
        <v>88</v>
      </c>
      <c r="O28" s="2">
        <v>40</v>
      </c>
      <c r="P28" s="2">
        <v>13.6</v>
      </c>
      <c r="Q28" s="2">
        <v>75.599999999999994</v>
      </c>
      <c r="R28" s="2" t="s">
        <v>37</v>
      </c>
      <c r="Y28" s="7"/>
    </row>
    <row r="29" spans="1:43">
      <c r="A29" s="2">
        <v>16.100000000000001</v>
      </c>
      <c r="B29" s="2" t="s">
        <v>32</v>
      </c>
      <c r="C29" s="2" t="s">
        <v>87</v>
      </c>
      <c r="D29" s="3">
        <v>-23.910799999999998</v>
      </c>
      <c r="E29" s="3">
        <v>-147.68430000000001</v>
      </c>
      <c r="F29" s="28" t="s">
        <v>95</v>
      </c>
      <c r="G29" s="2" t="s">
        <v>73</v>
      </c>
      <c r="H29" s="4">
        <v>41377</v>
      </c>
      <c r="I29" s="9">
        <v>0.47916666666666669</v>
      </c>
      <c r="J29" s="2">
        <v>24</v>
      </c>
      <c r="K29" s="2">
        <v>25.5</v>
      </c>
      <c r="L29" s="6">
        <v>35.700000000000003</v>
      </c>
      <c r="M29" s="2">
        <v>13.5</v>
      </c>
      <c r="N29" s="2" t="s">
        <v>88</v>
      </c>
      <c r="O29" s="2">
        <v>40</v>
      </c>
      <c r="P29" s="2">
        <v>5</v>
      </c>
      <c r="Q29" s="2">
        <v>13.2</v>
      </c>
      <c r="R29" s="2" t="s">
        <v>37</v>
      </c>
      <c r="S29" s="3">
        <v>10.3</v>
      </c>
      <c r="T29" s="3">
        <v>2.02</v>
      </c>
      <c r="U29" s="3">
        <v>0.28999999999999998</v>
      </c>
      <c r="V29" s="3">
        <f t="shared" si="1"/>
        <v>0.309</v>
      </c>
      <c r="Y29" s="7">
        <v>41548</v>
      </c>
      <c r="Z29" s="3" t="s">
        <v>38</v>
      </c>
      <c r="AC29" s="3" t="s">
        <v>38</v>
      </c>
      <c r="AD29" s="3" t="s">
        <v>42</v>
      </c>
      <c r="AF29" s="3" t="s">
        <v>45</v>
      </c>
      <c r="AL29" s="3" t="s">
        <v>98</v>
      </c>
      <c r="AP29" s="11">
        <v>41508</v>
      </c>
    </row>
    <row r="30" spans="1:43">
      <c r="A30" s="2">
        <v>16.2</v>
      </c>
      <c r="B30" s="2" t="s">
        <v>32</v>
      </c>
      <c r="C30" s="2" t="s">
        <v>91</v>
      </c>
      <c r="D30" s="3">
        <v>-23.910799999999998</v>
      </c>
      <c r="E30" s="3">
        <v>-147.68430000000001</v>
      </c>
      <c r="F30" s="43" t="s">
        <v>70</v>
      </c>
      <c r="G30" s="2" t="s">
        <v>73</v>
      </c>
      <c r="H30" s="4">
        <v>41377</v>
      </c>
      <c r="I30" s="9">
        <v>0.47916666666666669</v>
      </c>
      <c r="J30" s="2">
        <v>24</v>
      </c>
      <c r="K30" s="2">
        <v>25.5</v>
      </c>
      <c r="L30" s="6">
        <v>35.700000000000003</v>
      </c>
      <c r="M30" s="2">
        <v>13.5</v>
      </c>
      <c r="N30" s="2" t="s">
        <v>88</v>
      </c>
      <c r="O30" s="2">
        <v>40</v>
      </c>
      <c r="P30" s="2">
        <v>5</v>
      </c>
      <c r="Q30" s="2">
        <v>13.2</v>
      </c>
      <c r="R30" s="2" t="s">
        <v>37</v>
      </c>
      <c r="Y30" s="7"/>
      <c r="AP30" s="11"/>
    </row>
    <row r="31" spans="1:43">
      <c r="A31" s="2">
        <v>17.100000000000001</v>
      </c>
      <c r="B31" s="2" t="s">
        <v>32</v>
      </c>
      <c r="C31" s="2" t="s">
        <v>87</v>
      </c>
      <c r="D31" s="3">
        <v>-23.910799999999998</v>
      </c>
      <c r="E31" s="3">
        <v>-147.68430000000001</v>
      </c>
      <c r="F31" s="1" t="s">
        <v>40</v>
      </c>
      <c r="H31" s="4">
        <v>41377</v>
      </c>
      <c r="I31" s="9">
        <v>0.4826388888888889</v>
      </c>
      <c r="J31" s="2">
        <v>24</v>
      </c>
      <c r="K31" s="2">
        <v>25.5</v>
      </c>
      <c r="L31" s="6">
        <v>35.700000000000003</v>
      </c>
      <c r="M31" s="2">
        <v>14</v>
      </c>
      <c r="N31" s="2" t="s">
        <v>88</v>
      </c>
      <c r="O31" s="2">
        <v>40</v>
      </c>
      <c r="P31" s="2">
        <v>7.1</v>
      </c>
      <c r="Q31" s="2">
        <v>31.4</v>
      </c>
      <c r="R31" s="2" t="s">
        <v>37</v>
      </c>
      <c r="S31" s="3">
        <v>61.5</v>
      </c>
      <c r="T31" s="3">
        <v>2.13</v>
      </c>
      <c r="U31" s="3">
        <v>1.5</v>
      </c>
      <c r="V31" s="3">
        <f t="shared" si="1"/>
        <v>1.845</v>
      </c>
      <c r="W31" s="3" t="s">
        <v>60</v>
      </c>
      <c r="Y31" s="7">
        <v>41548</v>
      </c>
      <c r="Z31" s="3">
        <v>56.6</v>
      </c>
      <c r="AA31" s="3">
        <v>1.9</v>
      </c>
      <c r="AB31" s="3">
        <v>0.44</v>
      </c>
      <c r="AC31" s="3">
        <f t="shared" si="0"/>
        <v>2.83</v>
      </c>
      <c r="AD31" s="3" t="s">
        <v>44</v>
      </c>
      <c r="AE31" s="3">
        <f>V31/AC31</f>
        <v>0.65194346289752647</v>
      </c>
      <c r="AF31" s="3" t="s">
        <v>45</v>
      </c>
      <c r="AL31" s="3" t="s">
        <v>99</v>
      </c>
      <c r="AO31" s="3" t="s">
        <v>100</v>
      </c>
    </row>
    <row r="32" spans="1:43" s="21" customFormat="1">
      <c r="A32" s="19">
        <v>18.100000000000001</v>
      </c>
      <c r="B32" s="19" t="s">
        <v>32</v>
      </c>
      <c r="C32" s="19" t="s">
        <v>87</v>
      </c>
      <c r="D32" s="21">
        <v>-23.910799999999998</v>
      </c>
      <c r="E32" s="21">
        <v>-147.68430000000001</v>
      </c>
      <c r="F32" s="29" t="s">
        <v>40</v>
      </c>
      <c r="H32" s="30">
        <v>41377</v>
      </c>
      <c r="I32" s="23">
        <v>0.4861111111111111</v>
      </c>
      <c r="J32" s="19">
        <v>25</v>
      </c>
      <c r="K32" s="19">
        <v>25.5</v>
      </c>
      <c r="L32" s="31">
        <v>35.700000000000003</v>
      </c>
      <c r="M32" s="19">
        <v>14</v>
      </c>
      <c r="N32" s="19" t="s">
        <v>88</v>
      </c>
      <c r="O32" s="19">
        <v>40</v>
      </c>
      <c r="P32" s="19">
        <v>5.4</v>
      </c>
      <c r="Q32" s="19">
        <v>16.5</v>
      </c>
      <c r="R32" s="19" t="s">
        <v>37</v>
      </c>
      <c r="S32" s="21">
        <v>70.7</v>
      </c>
      <c r="T32" s="21">
        <v>2.2000000000000002</v>
      </c>
      <c r="U32" s="21">
        <v>0.87</v>
      </c>
      <c r="V32" s="21">
        <f t="shared" si="1"/>
        <v>2.121</v>
      </c>
      <c r="W32" s="21" t="s">
        <v>47</v>
      </c>
      <c r="Y32" s="32">
        <v>41548</v>
      </c>
      <c r="Z32" s="21">
        <v>51.2</v>
      </c>
      <c r="AA32" s="21">
        <v>1.99</v>
      </c>
      <c r="AB32" s="21">
        <v>0.27</v>
      </c>
      <c r="AC32" s="21">
        <f t="shared" si="0"/>
        <v>2.56</v>
      </c>
      <c r="AD32" s="21" t="s">
        <v>44</v>
      </c>
      <c r="AE32" s="21">
        <f>V32/AC32</f>
        <v>0.82851562499999998</v>
      </c>
      <c r="AF32" s="21" t="s">
        <v>45</v>
      </c>
      <c r="AL32" s="21" t="s">
        <v>101</v>
      </c>
      <c r="AO32" s="21" t="s">
        <v>102</v>
      </c>
      <c r="AQ32" s="21" t="s">
        <v>103</v>
      </c>
    </row>
    <row r="33" spans="1:42">
      <c r="A33" s="2">
        <v>19.100000000000001</v>
      </c>
      <c r="B33" s="2" t="s">
        <v>104</v>
      </c>
      <c r="C33" s="2" t="s">
        <v>105</v>
      </c>
      <c r="D33" s="3" t="s">
        <v>72</v>
      </c>
      <c r="F33" s="1" t="s">
        <v>40</v>
      </c>
      <c r="G33" s="3" t="s">
        <v>96</v>
      </c>
      <c r="H33" s="11">
        <v>41378</v>
      </c>
      <c r="I33" s="9">
        <v>0.36458333333333331</v>
      </c>
      <c r="J33" s="2">
        <v>25</v>
      </c>
      <c r="K33" s="2">
        <v>25.8</v>
      </c>
      <c r="L33" s="6">
        <v>35.6</v>
      </c>
      <c r="M33" s="2">
        <v>15</v>
      </c>
      <c r="N33" s="2" t="s">
        <v>88</v>
      </c>
      <c r="O33" s="2">
        <v>30</v>
      </c>
      <c r="P33" s="2">
        <v>13</v>
      </c>
      <c r="Q33" s="2">
        <v>125</v>
      </c>
      <c r="R33" s="2" t="s">
        <v>37</v>
      </c>
      <c r="S33" s="3">
        <v>74.599999999999994</v>
      </c>
      <c r="T33" s="3">
        <v>2.2000000000000002</v>
      </c>
      <c r="U33" s="3">
        <v>0.72</v>
      </c>
      <c r="V33" s="3">
        <f t="shared" si="1"/>
        <v>2.238</v>
      </c>
      <c r="W33" s="3" t="s">
        <v>47</v>
      </c>
      <c r="Z33" s="3">
        <v>54</v>
      </c>
      <c r="AA33" s="3">
        <v>2</v>
      </c>
      <c r="AB33" s="3">
        <v>2.38</v>
      </c>
      <c r="AC33" s="3">
        <f t="shared" si="0"/>
        <v>2.7</v>
      </c>
      <c r="AD33" s="3" t="s">
        <v>44</v>
      </c>
      <c r="AE33" s="3">
        <f>V33/AC33</f>
        <v>0.82888888888888879</v>
      </c>
      <c r="AF33" s="3" t="s">
        <v>45</v>
      </c>
      <c r="AL33" s="3" t="s">
        <v>57</v>
      </c>
      <c r="AO33" s="3" t="s">
        <v>106</v>
      </c>
    </row>
    <row r="34" spans="1:42">
      <c r="A34" s="2">
        <v>19.2</v>
      </c>
      <c r="B34" s="2" t="s">
        <v>104</v>
      </c>
      <c r="C34" s="2" t="s">
        <v>105</v>
      </c>
      <c r="D34" s="3">
        <v>-23.421299999999999</v>
      </c>
      <c r="E34" s="3">
        <v>-149.4402</v>
      </c>
      <c r="F34" s="1" t="s">
        <v>40</v>
      </c>
      <c r="G34" s="3" t="s">
        <v>107</v>
      </c>
      <c r="H34" s="11">
        <v>41378</v>
      </c>
      <c r="I34" s="9">
        <v>0.36458333333333331</v>
      </c>
      <c r="J34" s="2">
        <v>25</v>
      </c>
      <c r="K34" s="2">
        <v>25.8</v>
      </c>
      <c r="L34" s="6">
        <v>35.6</v>
      </c>
      <c r="M34" s="2">
        <v>15</v>
      </c>
      <c r="N34" s="2" t="s">
        <v>88</v>
      </c>
      <c r="O34" s="2">
        <v>30</v>
      </c>
      <c r="P34" s="2">
        <v>13</v>
      </c>
      <c r="Q34" s="2">
        <v>125</v>
      </c>
      <c r="R34" s="2" t="s">
        <v>37</v>
      </c>
    </row>
    <row r="35" spans="1:42">
      <c r="A35" s="2">
        <v>20.100000000000001</v>
      </c>
      <c r="B35" s="2" t="s">
        <v>104</v>
      </c>
      <c r="C35" s="2" t="s">
        <v>105</v>
      </c>
      <c r="D35" s="3">
        <v>-23.421299999999999</v>
      </c>
      <c r="E35" s="3">
        <v>-149.4402</v>
      </c>
      <c r="F35" s="1" t="s">
        <v>40</v>
      </c>
      <c r="G35" s="3" t="s">
        <v>92</v>
      </c>
      <c r="H35" s="11">
        <v>41378</v>
      </c>
      <c r="I35" s="9">
        <v>0.36805555555555558</v>
      </c>
      <c r="J35" s="2">
        <v>25</v>
      </c>
      <c r="K35" s="2">
        <v>25.8</v>
      </c>
      <c r="L35" s="6">
        <v>35.6</v>
      </c>
      <c r="M35" s="2">
        <v>14.5</v>
      </c>
      <c r="N35" s="2" t="s">
        <v>88</v>
      </c>
      <c r="O35" s="2">
        <v>35</v>
      </c>
      <c r="P35" s="2">
        <v>13.2</v>
      </c>
      <c r="Q35" s="2">
        <v>84.5</v>
      </c>
      <c r="R35" s="2" t="s">
        <v>37</v>
      </c>
      <c r="S35" s="3">
        <v>72.599999999999994</v>
      </c>
      <c r="T35" s="3">
        <v>2.15</v>
      </c>
      <c r="U35" s="3">
        <v>1.06</v>
      </c>
      <c r="V35" s="3">
        <f t="shared" si="1"/>
        <v>2.1779999999999999</v>
      </c>
      <c r="W35" s="3" t="s">
        <v>47</v>
      </c>
      <c r="Z35" s="3">
        <v>51.6</v>
      </c>
      <c r="AA35" s="3">
        <v>1.97</v>
      </c>
      <c r="AB35" s="3">
        <v>0.99</v>
      </c>
      <c r="AC35" s="3">
        <f t="shared" si="0"/>
        <v>2.58</v>
      </c>
      <c r="AD35" s="3" t="s">
        <v>44</v>
      </c>
      <c r="AE35" s="3">
        <f>V35/AC35</f>
        <v>0.84418604651162787</v>
      </c>
      <c r="AF35" s="3" t="s">
        <v>45</v>
      </c>
      <c r="AL35" s="3" t="s">
        <v>61</v>
      </c>
      <c r="AO35" s="3" t="s">
        <v>108</v>
      </c>
    </row>
    <row r="36" spans="1:42">
      <c r="A36" s="2">
        <v>21.1</v>
      </c>
      <c r="B36" s="2" t="s">
        <v>104</v>
      </c>
      <c r="C36" s="2" t="s">
        <v>105</v>
      </c>
      <c r="D36" s="3">
        <v>-23.421299999999999</v>
      </c>
      <c r="E36" s="3">
        <v>-149.4402</v>
      </c>
      <c r="F36" s="1" t="s">
        <v>40</v>
      </c>
      <c r="G36" s="3" t="s">
        <v>92</v>
      </c>
      <c r="H36" s="11">
        <v>41378</v>
      </c>
      <c r="I36" s="9">
        <v>0.375</v>
      </c>
      <c r="J36" s="2">
        <v>25</v>
      </c>
      <c r="K36" s="2">
        <v>25.8</v>
      </c>
      <c r="L36" s="6">
        <v>35.6</v>
      </c>
      <c r="M36" s="2">
        <v>15</v>
      </c>
      <c r="N36" s="2" t="s">
        <v>88</v>
      </c>
      <c r="O36" s="2">
        <v>35</v>
      </c>
      <c r="P36" s="2">
        <v>6.2</v>
      </c>
      <c r="Q36" s="2">
        <v>21.2</v>
      </c>
      <c r="R36" s="2" t="s">
        <v>37</v>
      </c>
      <c r="S36" s="3">
        <v>32.5</v>
      </c>
      <c r="T36" s="3">
        <v>2.15</v>
      </c>
      <c r="U36" s="3">
        <v>0.44</v>
      </c>
      <c r="V36" s="3">
        <f>S36*30/1000</f>
        <v>0.97499999999999998</v>
      </c>
      <c r="W36" s="3" t="s">
        <v>47</v>
      </c>
      <c r="X36" s="3">
        <v>200</v>
      </c>
      <c r="Y36" s="7">
        <v>41609</v>
      </c>
      <c r="Z36" s="3">
        <v>38.5</v>
      </c>
      <c r="AA36" s="3">
        <v>1.94</v>
      </c>
      <c r="AB36" s="3">
        <v>0.35</v>
      </c>
      <c r="AC36" s="3">
        <f>Z36*50/1000</f>
        <v>1.925</v>
      </c>
      <c r="AD36" s="3" t="s">
        <v>44</v>
      </c>
      <c r="AE36" s="3">
        <f>V36/AC36</f>
        <v>0.50649350649350644</v>
      </c>
      <c r="AF36" s="3" t="s">
        <v>53</v>
      </c>
      <c r="AL36" s="3" t="s">
        <v>68</v>
      </c>
      <c r="AO36" s="3" t="s">
        <v>109</v>
      </c>
    </row>
    <row r="37" spans="1:42">
      <c r="A37" s="2">
        <v>22.1</v>
      </c>
      <c r="B37" s="2" t="s">
        <v>104</v>
      </c>
      <c r="C37" s="2" t="s">
        <v>105</v>
      </c>
      <c r="D37" s="3">
        <v>-23.421299999999999</v>
      </c>
      <c r="E37" s="3">
        <v>-149.4402</v>
      </c>
      <c r="F37" s="28" t="s">
        <v>95</v>
      </c>
      <c r="G37" s="3" t="s">
        <v>92</v>
      </c>
      <c r="H37" s="11">
        <v>41378</v>
      </c>
      <c r="I37" s="9">
        <v>0.38194444444444442</v>
      </c>
      <c r="J37" s="2">
        <v>25</v>
      </c>
      <c r="K37" s="2">
        <v>25.8</v>
      </c>
      <c r="L37" s="6">
        <v>35.6</v>
      </c>
      <c r="M37" s="2">
        <v>14.5</v>
      </c>
      <c r="N37" s="2" t="s">
        <v>88</v>
      </c>
      <c r="O37" s="2">
        <v>35</v>
      </c>
      <c r="P37" s="2">
        <v>10.199999999999999</v>
      </c>
      <c r="Q37" s="2">
        <v>70</v>
      </c>
      <c r="R37" s="2" t="s">
        <v>37</v>
      </c>
      <c r="S37" s="3" t="s">
        <v>38</v>
      </c>
      <c r="Y37" s="7">
        <v>41640</v>
      </c>
      <c r="Z37" s="3">
        <v>9.5</v>
      </c>
      <c r="AA37" s="3">
        <v>2.33</v>
      </c>
      <c r="AB37" s="3">
        <v>0.14000000000000001</v>
      </c>
      <c r="AC37" s="3">
        <f>Z37*50/1000</f>
        <v>0.47499999999999998</v>
      </c>
      <c r="AD37" s="3" t="s">
        <v>64</v>
      </c>
      <c r="AF37" s="3" t="s">
        <v>53</v>
      </c>
      <c r="AL37" s="3" t="s">
        <v>110</v>
      </c>
      <c r="AO37" s="3" t="s">
        <v>111</v>
      </c>
    </row>
    <row r="38" spans="1:42">
      <c r="A38" s="2">
        <v>22.2</v>
      </c>
      <c r="B38" s="2" t="s">
        <v>104</v>
      </c>
      <c r="C38" s="2" t="s">
        <v>105</v>
      </c>
      <c r="D38" s="3">
        <v>-23.421299999999999</v>
      </c>
      <c r="E38" s="3">
        <v>-149.4402</v>
      </c>
      <c r="F38" s="43" t="s">
        <v>70</v>
      </c>
      <c r="H38" s="11">
        <v>41378</v>
      </c>
      <c r="I38" s="9">
        <v>0.38194444444444442</v>
      </c>
      <c r="J38" s="2">
        <v>25</v>
      </c>
      <c r="K38" s="2">
        <v>25.8</v>
      </c>
      <c r="L38" s="6">
        <v>35.6</v>
      </c>
      <c r="M38" s="2">
        <v>14.5</v>
      </c>
      <c r="N38" s="2" t="s">
        <v>88</v>
      </c>
      <c r="O38" s="2">
        <v>35</v>
      </c>
      <c r="P38" s="2">
        <v>10.199999999999999</v>
      </c>
      <c r="Q38" s="2">
        <v>70</v>
      </c>
      <c r="R38" s="2" t="s">
        <v>37</v>
      </c>
      <c r="Y38" s="7"/>
    </row>
    <row r="39" spans="1:42">
      <c r="A39" s="2">
        <v>23.1</v>
      </c>
      <c r="B39" s="2" t="s">
        <v>104</v>
      </c>
      <c r="C39" s="2" t="s">
        <v>112</v>
      </c>
      <c r="D39" s="3">
        <v>-23.3827</v>
      </c>
      <c r="E39" s="3">
        <v>-149.54929999999999</v>
      </c>
      <c r="F39" s="1" t="s">
        <v>40</v>
      </c>
      <c r="G39" s="3" t="s">
        <v>92</v>
      </c>
      <c r="H39" s="11">
        <v>41378</v>
      </c>
      <c r="I39" s="9">
        <v>0.44097222222222227</v>
      </c>
      <c r="J39" s="2">
        <v>25.5</v>
      </c>
      <c r="K39" s="2">
        <v>25.9</v>
      </c>
      <c r="L39" s="6">
        <v>35.6</v>
      </c>
      <c r="M39" s="2">
        <v>15.5</v>
      </c>
      <c r="N39" s="2" t="s">
        <v>88</v>
      </c>
      <c r="O39" s="2">
        <v>40</v>
      </c>
      <c r="P39" s="2">
        <v>7.2</v>
      </c>
      <c r="Q39" s="2">
        <v>44.9</v>
      </c>
      <c r="R39" s="2" t="s">
        <v>37</v>
      </c>
      <c r="S39" s="3">
        <v>34.4</v>
      </c>
      <c r="T39" s="3">
        <v>2.14</v>
      </c>
      <c r="U39" s="3">
        <v>0.37</v>
      </c>
      <c r="V39" s="3">
        <f>34.4*30/1000</f>
        <v>1.032</v>
      </c>
      <c r="W39" s="3" t="s">
        <v>60</v>
      </c>
      <c r="X39" s="3">
        <v>200</v>
      </c>
      <c r="Y39" s="7">
        <v>41640</v>
      </c>
      <c r="Z39" s="3">
        <v>57.6</v>
      </c>
      <c r="AA39" s="3">
        <v>1.92</v>
      </c>
      <c r="AB39" s="3">
        <v>0.42</v>
      </c>
      <c r="AC39" s="3">
        <f>57.6*50/1000</f>
        <v>2.88</v>
      </c>
      <c r="AD39" s="3" t="s">
        <v>44</v>
      </c>
      <c r="AE39" s="3">
        <f t="shared" ref="AE39:AE50" si="2">V39/AC39</f>
        <v>0.35833333333333334</v>
      </c>
      <c r="AF39" s="3" t="s">
        <v>53</v>
      </c>
      <c r="AL39" s="3" t="s">
        <v>77</v>
      </c>
      <c r="AO39" s="3" t="s">
        <v>113</v>
      </c>
    </row>
    <row r="40" spans="1:42">
      <c r="A40" s="2">
        <v>24.1</v>
      </c>
      <c r="B40" s="2" t="s">
        <v>104</v>
      </c>
      <c r="C40" s="2" t="s">
        <v>112</v>
      </c>
      <c r="D40" s="3">
        <v>-23.3827</v>
      </c>
      <c r="E40" s="3">
        <v>-149.54929999999999</v>
      </c>
      <c r="F40" s="1" t="s">
        <v>40</v>
      </c>
      <c r="G40" s="33"/>
      <c r="H40" s="11">
        <v>41378</v>
      </c>
      <c r="I40" s="9">
        <v>0.44791666666666669</v>
      </c>
      <c r="J40" s="2">
        <v>25.5</v>
      </c>
      <c r="K40" s="2">
        <v>25.9</v>
      </c>
      <c r="L40" s="6">
        <v>35.6</v>
      </c>
      <c r="M40" s="2">
        <v>15</v>
      </c>
      <c r="N40" s="2" t="s">
        <v>88</v>
      </c>
      <c r="O40" s="2">
        <v>40</v>
      </c>
      <c r="P40" s="2">
        <v>9.1</v>
      </c>
      <c r="Q40" s="2">
        <v>41.9</v>
      </c>
      <c r="R40" s="2" t="s">
        <v>37</v>
      </c>
      <c r="S40" s="3">
        <v>35.200000000000003</v>
      </c>
      <c r="T40" s="3">
        <v>2.1800000000000002</v>
      </c>
      <c r="U40" s="3">
        <v>0.67</v>
      </c>
      <c r="V40" s="3">
        <f>35.2*30/1000</f>
        <v>1.056</v>
      </c>
      <c r="W40" s="3" t="s">
        <v>47</v>
      </c>
      <c r="X40" s="3">
        <v>200</v>
      </c>
      <c r="Y40" s="7">
        <v>41609</v>
      </c>
      <c r="Z40" s="3">
        <v>123.2</v>
      </c>
      <c r="AA40" s="3">
        <v>1.96</v>
      </c>
      <c r="AB40" s="3">
        <v>1.55</v>
      </c>
      <c r="AC40" s="3">
        <f>50*Z40/1000</f>
        <v>6.16</v>
      </c>
      <c r="AD40" s="3" t="s">
        <v>44</v>
      </c>
      <c r="AE40" s="3">
        <f t="shared" si="2"/>
        <v>0.17142857142857143</v>
      </c>
      <c r="AF40" s="3" t="s">
        <v>53</v>
      </c>
      <c r="AL40" s="3" t="s">
        <v>114</v>
      </c>
      <c r="AO40" s="3" t="s">
        <v>115</v>
      </c>
      <c r="AP40" s="3" t="s">
        <v>116</v>
      </c>
    </row>
    <row r="41" spans="1:42">
      <c r="A41" s="2">
        <v>25.1</v>
      </c>
      <c r="B41" s="2" t="s">
        <v>104</v>
      </c>
      <c r="C41" s="2" t="s">
        <v>112</v>
      </c>
      <c r="D41" s="3">
        <v>-23.3827</v>
      </c>
      <c r="E41" s="3">
        <v>-149.54929999999999</v>
      </c>
      <c r="F41" s="1" t="s">
        <v>40</v>
      </c>
      <c r="G41" s="3" t="s">
        <v>92</v>
      </c>
      <c r="H41" s="11">
        <v>41378</v>
      </c>
      <c r="I41" s="9">
        <v>0.4548611111111111</v>
      </c>
      <c r="J41" s="2">
        <v>25</v>
      </c>
      <c r="K41" s="2">
        <v>25.9</v>
      </c>
      <c r="L41" s="6">
        <v>35.6</v>
      </c>
      <c r="M41" s="2">
        <v>15.5</v>
      </c>
      <c r="N41" s="2" t="s">
        <v>88</v>
      </c>
      <c r="O41" s="2">
        <v>40</v>
      </c>
      <c r="P41" s="2">
        <v>11</v>
      </c>
      <c r="Q41" s="2">
        <v>39.4</v>
      </c>
      <c r="R41" s="2" t="s">
        <v>37</v>
      </c>
      <c r="S41" s="3">
        <v>112</v>
      </c>
      <c r="T41" s="3">
        <v>2.19</v>
      </c>
      <c r="U41" s="3">
        <v>0.67</v>
      </c>
      <c r="V41" s="3">
        <f>30*S41/1000</f>
        <v>3.36</v>
      </c>
      <c r="W41" s="3" t="s">
        <v>47</v>
      </c>
      <c r="X41" s="3">
        <v>200</v>
      </c>
      <c r="Y41" s="7">
        <v>41609</v>
      </c>
      <c r="Z41" s="3">
        <v>77.7</v>
      </c>
      <c r="AA41" s="3">
        <v>1.95</v>
      </c>
      <c r="AB41" s="3">
        <v>0.89</v>
      </c>
      <c r="AC41" s="3">
        <f>77.7*50/1000</f>
        <v>3.8849999999999998</v>
      </c>
      <c r="AD41" s="3" t="s">
        <v>44</v>
      </c>
      <c r="AE41" s="3">
        <f t="shared" si="2"/>
        <v>0.86486486486486491</v>
      </c>
      <c r="AF41" s="3" t="s">
        <v>53</v>
      </c>
      <c r="AL41" s="2" t="s">
        <v>117</v>
      </c>
      <c r="AO41" s="3" t="s">
        <v>118</v>
      </c>
      <c r="AP41" s="3" t="s">
        <v>116</v>
      </c>
    </row>
    <row r="42" spans="1:42">
      <c r="A42" s="2">
        <v>26.1</v>
      </c>
      <c r="B42" s="2" t="s">
        <v>104</v>
      </c>
      <c r="C42" s="2" t="s">
        <v>119</v>
      </c>
      <c r="D42" s="3">
        <v>-23.4253</v>
      </c>
      <c r="E42" s="3">
        <v>-149.51840000000001</v>
      </c>
      <c r="F42" s="1" t="s">
        <v>40</v>
      </c>
      <c r="H42" s="11">
        <v>41378</v>
      </c>
      <c r="I42" s="9">
        <v>0.62152777777777779</v>
      </c>
      <c r="J42" s="2">
        <v>24.5</v>
      </c>
      <c r="K42" s="2">
        <v>25.9</v>
      </c>
      <c r="L42" s="6">
        <v>35.6</v>
      </c>
      <c r="M42" s="2">
        <v>14.5</v>
      </c>
      <c r="N42" s="2" t="s">
        <v>88</v>
      </c>
      <c r="O42" s="2">
        <v>40</v>
      </c>
      <c r="P42" s="2">
        <v>11.8</v>
      </c>
      <c r="Q42" s="2">
        <v>69</v>
      </c>
      <c r="R42" s="2" t="s">
        <v>37</v>
      </c>
      <c r="S42" s="3">
        <v>58.9</v>
      </c>
      <c r="T42" s="3">
        <v>2.16</v>
      </c>
      <c r="U42" s="3">
        <v>1.08</v>
      </c>
      <c r="V42" s="3">
        <f>58.9*30/1000</f>
        <v>1.7669999999999999</v>
      </c>
      <c r="W42" s="3" t="s">
        <v>47</v>
      </c>
      <c r="X42" s="3">
        <v>200</v>
      </c>
      <c r="Y42" s="7">
        <v>41640</v>
      </c>
      <c r="Z42" s="3">
        <v>31.9</v>
      </c>
      <c r="AA42" s="3">
        <v>2.02</v>
      </c>
      <c r="AB42" s="3">
        <v>2.11</v>
      </c>
      <c r="AC42" s="3">
        <f>31.9*50/1000</f>
        <v>1.595</v>
      </c>
      <c r="AD42" s="3" t="s">
        <v>44</v>
      </c>
      <c r="AE42" s="3">
        <f t="shared" si="2"/>
        <v>1.1078369905956111</v>
      </c>
      <c r="AF42" s="3" t="s">
        <v>53</v>
      </c>
      <c r="AL42" s="2" t="s">
        <v>89</v>
      </c>
      <c r="AO42" s="3" t="s">
        <v>120</v>
      </c>
      <c r="AP42" s="3" t="s">
        <v>116</v>
      </c>
    </row>
    <row r="43" spans="1:42">
      <c r="A43" s="2">
        <v>27.1</v>
      </c>
      <c r="B43" s="2" t="s">
        <v>104</v>
      </c>
      <c r="C43" s="2" t="s">
        <v>119</v>
      </c>
      <c r="D43" s="3">
        <v>-23.4253</v>
      </c>
      <c r="E43" s="3">
        <v>-149.51840000000001</v>
      </c>
      <c r="F43" s="1" t="s">
        <v>40</v>
      </c>
      <c r="H43" s="11">
        <v>41378</v>
      </c>
      <c r="I43" s="9">
        <v>0.625</v>
      </c>
      <c r="J43" s="2">
        <v>25</v>
      </c>
      <c r="K43" s="2">
        <v>25.9</v>
      </c>
      <c r="L43" s="6">
        <v>35.6</v>
      </c>
      <c r="M43" s="2">
        <v>14.5</v>
      </c>
      <c r="N43" s="2" t="s">
        <v>88</v>
      </c>
      <c r="O43" s="2">
        <v>35</v>
      </c>
      <c r="P43" s="2">
        <v>6.5</v>
      </c>
      <c r="Q43" s="2">
        <v>27.7</v>
      </c>
      <c r="R43" s="2" t="s">
        <v>37</v>
      </c>
      <c r="S43" s="3">
        <v>40.200000000000003</v>
      </c>
      <c r="T43" s="3">
        <v>2.2000000000000002</v>
      </c>
      <c r="U43" s="3">
        <v>0.71</v>
      </c>
      <c r="V43" s="3">
        <f>40.2*30/1000</f>
        <v>1.206</v>
      </c>
      <c r="W43" s="3" t="s">
        <v>47</v>
      </c>
      <c r="X43" s="3">
        <v>200</v>
      </c>
      <c r="Y43" s="7">
        <v>41640</v>
      </c>
      <c r="Z43" s="3">
        <v>27.9</v>
      </c>
      <c r="AA43" s="3">
        <v>2.1</v>
      </c>
      <c r="AB43" s="3">
        <v>0.48</v>
      </c>
      <c r="AC43" s="3">
        <f>27.9*50/1000</f>
        <v>1.395</v>
      </c>
      <c r="AD43" s="3" t="s">
        <v>44</v>
      </c>
      <c r="AE43" s="3">
        <f t="shared" si="2"/>
        <v>0.86451612903225805</v>
      </c>
      <c r="AF43" s="3" t="s">
        <v>53</v>
      </c>
      <c r="AL43" s="2" t="s">
        <v>121</v>
      </c>
    </row>
    <row r="44" spans="1:42">
      <c r="A44" s="2">
        <v>28.1</v>
      </c>
      <c r="B44" s="2" t="s">
        <v>104</v>
      </c>
      <c r="C44" s="2" t="s">
        <v>119</v>
      </c>
      <c r="D44" s="3">
        <v>-23.4253</v>
      </c>
      <c r="E44" s="3">
        <v>-149.51840000000001</v>
      </c>
      <c r="F44" s="1" t="s">
        <v>40</v>
      </c>
      <c r="G44" s="3" t="s">
        <v>96</v>
      </c>
      <c r="H44" s="11">
        <v>41378</v>
      </c>
      <c r="I44" s="9">
        <v>0.63194444444444442</v>
      </c>
      <c r="J44" s="2">
        <v>25</v>
      </c>
      <c r="K44" s="2">
        <v>25.9</v>
      </c>
      <c r="L44" s="6">
        <v>35.6</v>
      </c>
      <c r="M44" s="2">
        <v>14.5</v>
      </c>
      <c r="N44" s="2" t="s">
        <v>88</v>
      </c>
      <c r="O44" s="2">
        <v>35</v>
      </c>
      <c r="P44" s="2">
        <v>6.4</v>
      </c>
      <c r="Q44" s="2">
        <v>19.100000000000001</v>
      </c>
      <c r="R44" s="2" t="s">
        <v>37</v>
      </c>
      <c r="S44" s="3">
        <v>48.2</v>
      </c>
      <c r="T44" s="3">
        <v>2.0499999999999998</v>
      </c>
      <c r="U44" s="3">
        <v>0.48</v>
      </c>
      <c r="V44" s="3">
        <f>48.2*30/1000</f>
        <v>1.446</v>
      </c>
      <c r="W44" s="3" t="s">
        <v>47</v>
      </c>
      <c r="X44" s="3">
        <v>200</v>
      </c>
      <c r="Y44" s="7">
        <v>41640</v>
      </c>
      <c r="Z44" s="3">
        <v>50.8</v>
      </c>
      <c r="AA44" s="3">
        <v>1.92</v>
      </c>
      <c r="AB44" s="3">
        <v>0.36</v>
      </c>
      <c r="AC44" s="3">
        <f>50.8*50/1000</f>
        <v>2.54</v>
      </c>
      <c r="AD44" s="3" t="s">
        <v>44</v>
      </c>
      <c r="AE44" s="3">
        <f t="shared" si="2"/>
        <v>0.56929133858267711</v>
      </c>
      <c r="AF44" s="3" t="s">
        <v>53</v>
      </c>
    </row>
    <row r="45" spans="1:42">
      <c r="A45" s="2">
        <v>29.1</v>
      </c>
      <c r="B45" s="2" t="s">
        <v>104</v>
      </c>
      <c r="C45" s="2" t="s">
        <v>119</v>
      </c>
      <c r="D45" s="3">
        <v>-23.4253</v>
      </c>
      <c r="E45" s="3">
        <v>-149.51840000000001</v>
      </c>
      <c r="F45" s="1" t="s">
        <v>40</v>
      </c>
      <c r="G45" s="2" t="s">
        <v>122</v>
      </c>
      <c r="H45" s="11">
        <v>41378</v>
      </c>
      <c r="I45" s="9">
        <v>0.63541666666666663</v>
      </c>
      <c r="J45" s="2">
        <v>25</v>
      </c>
      <c r="K45" s="2">
        <v>25.9</v>
      </c>
      <c r="L45" s="6">
        <v>35.6</v>
      </c>
      <c r="M45" s="2">
        <v>14.5</v>
      </c>
      <c r="N45" s="2" t="s">
        <v>88</v>
      </c>
      <c r="O45" s="2">
        <v>30</v>
      </c>
      <c r="P45" s="2">
        <v>7.2</v>
      </c>
      <c r="Q45" s="2">
        <v>22.3</v>
      </c>
      <c r="R45" s="2" t="s">
        <v>37</v>
      </c>
      <c r="S45" s="3">
        <v>158.5</v>
      </c>
      <c r="T45" s="3">
        <v>2.1800000000000002</v>
      </c>
      <c r="U45" s="3">
        <v>1.17</v>
      </c>
      <c r="V45" s="3">
        <f>158.5*30/1000</f>
        <v>4.7549999999999999</v>
      </c>
      <c r="W45" s="3" t="s">
        <v>47</v>
      </c>
      <c r="X45" s="3">
        <v>200</v>
      </c>
      <c r="Y45" s="7">
        <v>41640</v>
      </c>
      <c r="Z45" s="3">
        <v>81.5</v>
      </c>
      <c r="AA45" s="3">
        <v>1.99</v>
      </c>
      <c r="AB45" s="3">
        <v>1.1200000000000001</v>
      </c>
      <c r="AC45" s="3">
        <f>50*Z45/1000</f>
        <v>4.0750000000000002</v>
      </c>
      <c r="AD45" s="3" t="s">
        <v>44</v>
      </c>
      <c r="AE45" s="3">
        <f t="shared" si="2"/>
        <v>1.1668711656441717</v>
      </c>
      <c r="AF45" s="3" t="s">
        <v>53</v>
      </c>
    </row>
    <row r="46" spans="1:42">
      <c r="A46" s="2">
        <v>30.1</v>
      </c>
      <c r="B46" s="2" t="s">
        <v>104</v>
      </c>
      <c r="C46" s="34" t="s">
        <v>123</v>
      </c>
      <c r="D46" s="3">
        <v>-23.4253</v>
      </c>
      <c r="E46" s="3">
        <v>-149.51840000000001</v>
      </c>
      <c r="F46" s="1" t="s">
        <v>40</v>
      </c>
      <c r="G46" s="3" t="s">
        <v>124</v>
      </c>
      <c r="H46" s="11">
        <v>41378</v>
      </c>
      <c r="I46" s="9">
        <v>0.64097222222222217</v>
      </c>
      <c r="J46" s="2">
        <v>25</v>
      </c>
      <c r="K46" s="2">
        <v>25.9</v>
      </c>
      <c r="L46" s="6">
        <v>35.6</v>
      </c>
      <c r="M46" s="2">
        <v>14</v>
      </c>
      <c r="N46" s="2" t="s">
        <v>125</v>
      </c>
      <c r="O46" s="2">
        <v>30</v>
      </c>
      <c r="P46" s="2">
        <v>10</v>
      </c>
      <c r="Q46" s="2">
        <v>64.5</v>
      </c>
      <c r="R46" s="2" t="s">
        <v>37</v>
      </c>
      <c r="S46" s="3">
        <v>30.4</v>
      </c>
      <c r="T46" s="3">
        <v>2.2799999999999998</v>
      </c>
      <c r="U46" s="3">
        <v>0.09</v>
      </c>
      <c r="V46" s="3">
        <f>30.1*30/1000</f>
        <v>0.90300000000000002</v>
      </c>
      <c r="W46" s="3" t="s">
        <v>60</v>
      </c>
      <c r="X46" s="3">
        <v>200</v>
      </c>
      <c r="Y46" s="7">
        <v>41609</v>
      </c>
      <c r="Z46" s="3">
        <v>25.6</v>
      </c>
      <c r="AA46" s="3">
        <v>2.13</v>
      </c>
      <c r="AB46" s="3">
        <v>0.04</v>
      </c>
      <c r="AC46" s="3">
        <f>25.6*50/1000</f>
        <v>1.28</v>
      </c>
      <c r="AD46" s="3" t="s">
        <v>44</v>
      </c>
      <c r="AE46" s="3">
        <f t="shared" si="2"/>
        <v>0.70546874999999998</v>
      </c>
      <c r="AF46" s="3" t="s">
        <v>79</v>
      </c>
    </row>
    <row r="47" spans="1:42">
      <c r="A47" s="2">
        <v>31.1</v>
      </c>
      <c r="B47" s="2" t="s">
        <v>104</v>
      </c>
      <c r="C47" s="2" t="s">
        <v>127</v>
      </c>
      <c r="D47" s="3" t="s">
        <v>72</v>
      </c>
      <c r="F47" s="1" t="s">
        <v>40</v>
      </c>
      <c r="G47" s="3" t="s">
        <v>124</v>
      </c>
      <c r="H47" s="11">
        <v>41379</v>
      </c>
      <c r="I47" s="9">
        <v>0.38194444444444442</v>
      </c>
      <c r="J47" s="2">
        <v>24.5</v>
      </c>
      <c r="K47" s="2">
        <v>25.8</v>
      </c>
      <c r="L47" s="3">
        <v>35.6</v>
      </c>
      <c r="M47" s="2">
        <v>15</v>
      </c>
      <c r="N47" s="2" t="s">
        <v>128</v>
      </c>
      <c r="O47" s="2">
        <v>40</v>
      </c>
      <c r="P47" s="2">
        <v>9.1</v>
      </c>
      <c r="Q47" s="2">
        <v>41</v>
      </c>
      <c r="R47" s="2" t="s">
        <v>37</v>
      </c>
      <c r="S47" s="3">
        <v>83.7</v>
      </c>
      <c r="T47" s="3">
        <v>2.15</v>
      </c>
      <c r="U47" s="3">
        <v>1.0900000000000001</v>
      </c>
      <c r="V47" s="3">
        <f>30*S47/1000</f>
        <v>2.5110000000000001</v>
      </c>
      <c r="W47" s="3" t="s">
        <v>47</v>
      </c>
      <c r="X47" s="3">
        <v>200</v>
      </c>
      <c r="Y47" s="7">
        <v>41640</v>
      </c>
      <c r="Z47" s="3">
        <v>63.7</v>
      </c>
      <c r="AA47" s="3">
        <v>2</v>
      </c>
      <c r="AB47" s="3">
        <v>0.51</v>
      </c>
      <c r="AC47" s="3">
        <f>50*Z47/1000</f>
        <v>3.1850000000000001</v>
      </c>
      <c r="AD47" s="3" t="s">
        <v>44</v>
      </c>
      <c r="AE47" s="3">
        <f t="shared" si="2"/>
        <v>0.78838304552590266</v>
      </c>
      <c r="AF47" s="3" t="s">
        <v>53</v>
      </c>
    </row>
    <row r="48" spans="1:42">
      <c r="A48" s="2">
        <v>32.1</v>
      </c>
      <c r="B48" s="2" t="s">
        <v>104</v>
      </c>
      <c r="C48" s="2" t="s">
        <v>127</v>
      </c>
      <c r="D48" s="3">
        <v>-23.4251</v>
      </c>
      <c r="E48" s="3">
        <v>-149.4057</v>
      </c>
      <c r="F48" s="28" t="s">
        <v>129</v>
      </c>
      <c r="G48" s="2" t="s">
        <v>130</v>
      </c>
      <c r="H48" s="11">
        <v>41379</v>
      </c>
      <c r="I48" s="9">
        <v>0.3923611111111111</v>
      </c>
      <c r="J48" s="2">
        <v>24.5</v>
      </c>
      <c r="K48" s="2">
        <v>25.8</v>
      </c>
      <c r="L48" s="3">
        <v>35.6</v>
      </c>
      <c r="M48" s="2">
        <v>14.5</v>
      </c>
      <c r="N48" s="2" t="s">
        <v>128</v>
      </c>
      <c r="O48" s="2">
        <v>35</v>
      </c>
      <c r="P48" s="2">
        <v>5.9</v>
      </c>
      <c r="Q48" s="2">
        <v>22.8</v>
      </c>
      <c r="R48" s="2" t="s">
        <v>37</v>
      </c>
      <c r="S48" s="3">
        <v>23.5</v>
      </c>
      <c r="T48" s="3">
        <v>2.2799999999999998</v>
      </c>
      <c r="U48" s="3">
        <v>0.68</v>
      </c>
      <c r="V48" s="3">
        <f>23.5*30/1000</f>
        <v>0.70499999999999996</v>
      </c>
      <c r="W48" s="3" t="s">
        <v>60</v>
      </c>
      <c r="X48" s="3">
        <v>200</v>
      </c>
      <c r="Y48" s="7">
        <v>41640</v>
      </c>
      <c r="Z48" s="3">
        <v>100.7</v>
      </c>
      <c r="AA48" s="3">
        <v>1.96</v>
      </c>
      <c r="AB48" s="3">
        <v>0.7</v>
      </c>
      <c r="AC48" s="3">
        <f>100.7*50/1000</f>
        <v>5.0350000000000001</v>
      </c>
      <c r="AD48" s="3" t="s">
        <v>44</v>
      </c>
      <c r="AE48" s="3">
        <f t="shared" si="2"/>
        <v>0.14001986097318767</v>
      </c>
      <c r="AF48" s="3" t="s">
        <v>53</v>
      </c>
    </row>
    <row r="49" spans="1:32">
      <c r="A49" s="2">
        <v>33.1</v>
      </c>
      <c r="B49" s="2" t="s">
        <v>104</v>
      </c>
      <c r="C49" s="2" t="s">
        <v>131</v>
      </c>
      <c r="D49" s="3">
        <v>-23.378599999999999</v>
      </c>
      <c r="E49" s="3">
        <v>-149.3853</v>
      </c>
      <c r="F49" s="1" t="s">
        <v>40</v>
      </c>
      <c r="G49" s="3" t="s">
        <v>124</v>
      </c>
      <c r="H49" s="11">
        <v>41379</v>
      </c>
      <c r="I49" s="9">
        <v>0.4548611111111111</v>
      </c>
      <c r="J49" s="2">
        <v>24.5</v>
      </c>
      <c r="K49" s="2">
        <v>25.8</v>
      </c>
      <c r="L49" s="3">
        <v>35.6</v>
      </c>
      <c r="M49" s="2">
        <v>14.5</v>
      </c>
      <c r="N49" s="2" t="s">
        <v>128</v>
      </c>
      <c r="O49" s="3" t="s">
        <v>132</v>
      </c>
      <c r="P49" s="2">
        <v>8.9</v>
      </c>
      <c r="Q49" s="2">
        <v>49.2</v>
      </c>
      <c r="R49" s="2" t="s">
        <v>37</v>
      </c>
      <c r="S49" s="3">
        <v>46</v>
      </c>
      <c r="T49" s="3">
        <v>2.2599999999999998</v>
      </c>
      <c r="U49" s="3">
        <v>0.44</v>
      </c>
      <c r="V49" s="3">
        <f>46*30/1000</f>
        <v>1.38</v>
      </c>
      <c r="W49" s="3" t="s">
        <v>47</v>
      </c>
      <c r="X49" s="3">
        <v>200</v>
      </c>
      <c r="Y49" s="7">
        <v>41640</v>
      </c>
      <c r="Z49" s="3">
        <v>20.8</v>
      </c>
      <c r="AA49" s="3">
        <v>1.84</v>
      </c>
      <c r="AB49" s="3">
        <v>0.12</v>
      </c>
      <c r="AC49" s="3">
        <f>20.8*50/1000</f>
        <v>1.04</v>
      </c>
      <c r="AD49" s="3" t="s">
        <v>44</v>
      </c>
      <c r="AE49" s="3">
        <f t="shared" si="2"/>
        <v>1.3269230769230769</v>
      </c>
      <c r="AF49" s="3" t="s">
        <v>53</v>
      </c>
    </row>
    <row r="50" spans="1:32">
      <c r="A50" s="2">
        <v>34.1</v>
      </c>
      <c r="B50" s="2" t="s">
        <v>104</v>
      </c>
      <c r="C50" s="2" t="s">
        <v>131</v>
      </c>
      <c r="D50" s="3">
        <v>-23.378599999999999</v>
      </c>
      <c r="E50" s="3">
        <v>-149.3853</v>
      </c>
      <c r="F50" s="1" t="s">
        <v>40</v>
      </c>
      <c r="G50" s="3" t="s">
        <v>124</v>
      </c>
      <c r="H50" s="11">
        <v>41379</v>
      </c>
      <c r="I50" s="9">
        <v>0.46527777777777773</v>
      </c>
      <c r="J50" s="2">
        <v>25</v>
      </c>
      <c r="K50" s="2">
        <v>25.8</v>
      </c>
      <c r="L50" s="3">
        <v>35.6</v>
      </c>
      <c r="M50" s="2">
        <v>15</v>
      </c>
      <c r="N50" s="2" t="s">
        <v>128</v>
      </c>
      <c r="O50" s="3">
        <v>45</v>
      </c>
      <c r="P50" s="2">
        <v>9.1999999999999993</v>
      </c>
      <c r="Q50" s="2">
        <v>54</v>
      </c>
      <c r="R50" s="2" t="s">
        <v>37</v>
      </c>
      <c r="S50" s="3">
        <v>27.4</v>
      </c>
      <c r="T50" s="3">
        <v>2.2200000000000002</v>
      </c>
      <c r="U50" s="3">
        <v>0.32</v>
      </c>
      <c r="V50" s="3">
        <f>27.4*30/1000</f>
        <v>0.82199999999999995</v>
      </c>
      <c r="W50" s="3" t="s">
        <v>60</v>
      </c>
      <c r="X50" s="3">
        <v>200</v>
      </c>
      <c r="Y50" s="7">
        <v>41640</v>
      </c>
      <c r="Z50" s="3">
        <v>13.3</v>
      </c>
      <c r="AA50" s="3">
        <v>1.88</v>
      </c>
      <c r="AB50" s="3">
        <v>0.06</v>
      </c>
      <c r="AC50" s="3">
        <f>13.3*50/1000</f>
        <v>0.66500000000000004</v>
      </c>
      <c r="AD50" s="3" t="s">
        <v>60</v>
      </c>
      <c r="AE50" s="3">
        <f t="shared" si="2"/>
        <v>1.2360902255639097</v>
      </c>
      <c r="AF50" s="3" t="s">
        <v>53</v>
      </c>
    </row>
    <row r="51" spans="1:32">
      <c r="A51" s="2">
        <v>35.1</v>
      </c>
      <c r="B51" s="2" t="s">
        <v>104</v>
      </c>
      <c r="C51" s="2" t="s">
        <v>131</v>
      </c>
      <c r="D51" s="3">
        <v>-23.378599999999999</v>
      </c>
      <c r="E51" s="3">
        <v>-149.3853</v>
      </c>
      <c r="F51" s="1" t="s">
        <v>40</v>
      </c>
      <c r="G51" s="3" t="s">
        <v>124</v>
      </c>
      <c r="H51" s="11">
        <v>41379</v>
      </c>
      <c r="I51" s="9">
        <v>0.47569444444444442</v>
      </c>
      <c r="J51" s="2">
        <v>25</v>
      </c>
      <c r="K51" s="2">
        <v>25.8</v>
      </c>
      <c r="L51" s="3">
        <v>35.6</v>
      </c>
      <c r="M51" s="2">
        <v>14.5</v>
      </c>
      <c r="N51" s="2" t="s">
        <v>128</v>
      </c>
      <c r="O51" s="3">
        <v>45</v>
      </c>
      <c r="P51" s="2">
        <v>9.5</v>
      </c>
      <c r="Q51" s="2">
        <v>44.2</v>
      </c>
      <c r="R51" s="2" t="s">
        <v>37</v>
      </c>
      <c r="S51" s="3" t="s">
        <v>133</v>
      </c>
    </row>
    <row r="52" spans="1:32">
      <c r="A52" s="2">
        <v>35.200000000000003</v>
      </c>
      <c r="B52" s="2" t="s">
        <v>104</v>
      </c>
      <c r="C52" s="2" t="s">
        <v>131</v>
      </c>
      <c r="D52" s="3">
        <v>-23.378599999999999</v>
      </c>
      <c r="E52" s="3">
        <v>-149.3853</v>
      </c>
      <c r="F52" s="1" t="s">
        <v>40</v>
      </c>
      <c r="G52" s="3" t="s">
        <v>124</v>
      </c>
      <c r="H52" s="11">
        <v>41379</v>
      </c>
      <c r="I52" s="9">
        <v>0.47569444444444442</v>
      </c>
      <c r="J52" s="2">
        <v>25</v>
      </c>
      <c r="K52" s="2">
        <v>25.8</v>
      </c>
      <c r="L52" s="3">
        <v>35.6</v>
      </c>
      <c r="M52" s="2">
        <v>14.5</v>
      </c>
      <c r="N52" s="2" t="s">
        <v>128</v>
      </c>
      <c r="O52" s="3">
        <v>45</v>
      </c>
      <c r="P52" s="2">
        <v>9.5</v>
      </c>
      <c r="Q52" s="2">
        <v>44.2</v>
      </c>
      <c r="R52" s="2" t="s">
        <v>37</v>
      </c>
      <c r="S52" s="3">
        <v>82.2</v>
      </c>
      <c r="T52" s="3">
        <v>2.21</v>
      </c>
      <c r="U52" s="3">
        <v>0.8</v>
      </c>
      <c r="V52" s="3">
        <f>30*S52/1000</f>
        <v>2.4660000000000002</v>
      </c>
      <c r="W52" s="3" t="s">
        <v>47</v>
      </c>
      <c r="X52" s="3">
        <v>200</v>
      </c>
      <c r="Y52" s="7">
        <v>41640</v>
      </c>
      <c r="Z52" s="3">
        <v>70.099999999999994</v>
      </c>
      <c r="AA52" s="3">
        <v>1.99</v>
      </c>
      <c r="AB52" s="3">
        <v>1.7</v>
      </c>
      <c r="AC52" s="3">
        <f>Z52*50/1000</f>
        <v>3.5049999999999994</v>
      </c>
      <c r="AD52" s="3" t="s">
        <v>44</v>
      </c>
      <c r="AE52" s="3">
        <f>V52/AC52</f>
        <v>0.7035663338088447</v>
      </c>
      <c r="AF52" s="3" t="s">
        <v>53</v>
      </c>
    </row>
    <row r="53" spans="1:32">
      <c r="A53" s="2">
        <v>36.1</v>
      </c>
      <c r="B53" s="2" t="s">
        <v>104</v>
      </c>
      <c r="C53" s="2" t="s">
        <v>134</v>
      </c>
      <c r="D53" s="3">
        <v>-23.348500000000001</v>
      </c>
      <c r="E53" s="3">
        <v>-149.53129999999999</v>
      </c>
      <c r="F53" s="1" t="s">
        <v>40</v>
      </c>
      <c r="G53" s="2" t="s">
        <v>73</v>
      </c>
      <c r="H53" s="11">
        <v>41380</v>
      </c>
      <c r="I53" s="9">
        <v>0.35625000000000001</v>
      </c>
      <c r="J53" s="2">
        <v>25</v>
      </c>
      <c r="K53" s="2">
        <v>25.7</v>
      </c>
      <c r="L53" s="3">
        <v>35.700000000000003</v>
      </c>
      <c r="M53" s="2">
        <v>18</v>
      </c>
      <c r="N53" s="2" t="s">
        <v>135</v>
      </c>
      <c r="O53" s="3">
        <v>5</v>
      </c>
      <c r="P53" s="2">
        <v>5.4</v>
      </c>
      <c r="Q53" s="2">
        <v>20.8</v>
      </c>
      <c r="R53" s="2" t="s">
        <v>37</v>
      </c>
      <c r="S53" s="3">
        <v>28.4</v>
      </c>
      <c r="T53" s="3">
        <v>2.08</v>
      </c>
      <c r="U53" s="3">
        <v>0.62</v>
      </c>
      <c r="V53" s="3">
        <f>28.4*30/1000</f>
        <v>0.85199999999999998</v>
      </c>
      <c r="W53" s="3" t="s">
        <v>60</v>
      </c>
      <c r="X53" s="3">
        <v>200</v>
      </c>
      <c r="Y53" s="7">
        <v>41640</v>
      </c>
      <c r="Z53" s="3">
        <v>5.2</v>
      </c>
      <c r="AA53" s="3">
        <v>1.44</v>
      </c>
      <c r="AB53" s="3">
        <v>0.27</v>
      </c>
      <c r="AC53" s="3">
        <f>5.2*50/1000</f>
        <v>0.26</v>
      </c>
      <c r="AD53" s="3" t="s">
        <v>64</v>
      </c>
      <c r="AE53" s="3">
        <f>V53/AC53</f>
        <v>3.2769230769230768</v>
      </c>
      <c r="AF53" s="3" t="s">
        <v>53</v>
      </c>
    </row>
    <row r="54" spans="1:32">
      <c r="A54" s="2">
        <v>36.200000000000003</v>
      </c>
      <c r="B54" s="2" t="s">
        <v>104</v>
      </c>
      <c r="C54" s="2" t="s">
        <v>134</v>
      </c>
      <c r="D54" s="3">
        <v>-23.348500000000001</v>
      </c>
      <c r="E54" s="3">
        <v>-149.53129999999999</v>
      </c>
      <c r="F54" s="1" t="s">
        <v>40</v>
      </c>
      <c r="H54" s="11">
        <v>41380</v>
      </c>
      <c r="I54" s="9">
        <v>0.35625000000000001</v>
      </c>
      <c r="J54" s="2">
        <v>25</v>
      </c>
      <c r="K54" s="2">
        <v>25.7</v>
      </c>
      <c r="L54" s="3">
        <v>35.700000000000003</v>
      </c>
      <c r="M54" s="2">
        <v>18</v>
      </c>
      <c r="N54" s="2" t="s">
        <v>135</v>
      </c>
      <c r="O54" s="3">
        <v>5</v>
      </c>
      <c r="P54" s="2">
        <v>5.4</v>
      </c>
      <c r="Q54" s="2">
        <v>20.8</v>
      </c>
      <c r="R54" s="2" t="s">
        <v>37</v>
      </c>
      <c r="Y54" s="7"/>
    </row>
    <row r="55" spans="1:32" s="21" customFormat="1">
      <c r="A55" s="21">
        <v>37.1</v>
      </c>
      <c r="B55" s="21" t="s">
        <v>104</v>
      </c>
      <c r="C55" s="21" t="s">
        <v>136</v>
      </c>
      <c r="D55" s="21">
        <v>-23.356100000000001</v>
      </c>
      <c r="E55" s="21">
        <v>-149.55179999999999</v>
      </c>
      <c r="F55" s="29" t="s">
        <v>40</v>
      </c>
      <c r="H55" s="22">
        <v>41380</v>
      </c>
      <c r="I55" s="23">
        <v>0.4375</v>
      </c>
      <c r="J55" s="19">
        <v>26</v>
      </c>
      <c r="K55" s="19">
        <v>25.8</v>
      </c>
      <c r="L55" s="21">
        <v>35.6</v>
      </c>
      <c r="M55" s="19">
        <v>18</v>
      </c>
      <c r="N55" s="19" t="s">
        <v>84</v>
      </c>
      <c r="O55" s="21">
        <v>20</v>
      </c>
      <c r="P55" s="19">
        <v>7.1</v>
      </c>
      <c r="Q55" s="19">
        <v>33.6</v>
      </c>
      <c r="R55" s="19" t="s">
        <v>37</v>
      </c>
      <c r="S55" s="21" t="s">
        <v>38</v>
      </c>
      <c r="Y55" s="32">
        <v>41640</v>
      </c>
      <c r="Z55" s="21">
        <v>21.1</v>
      </c>
      <c r="AA55" s="21">
        <v>1.8</v>
      </c>
      <c r="AB55" s="21">
        <v>0.46</v>
      </c>
      <c r="AC55" s="21">
        <f>21.1*50/1000</f>
        <v>1.0549999999999999</v>
      </c>
      <c r="AD55" s="21" t="s">
        <v>44</v>
      </c>
      <c r="AF55" s="21" t="s">
        <v>53</v>
      </c>
    </row>
    <row r="56" spans="1:32">
      <c r="A56" s="3">
        <v>38</v>
      </c>
      <c r="B56" s="3" t="s">
        <v>137</v>
      </c>
      <c r="C56" s="3" t="s">
        <v>138</v>
      </c>
      <c r="D56" s="3">
        <v>-22.452200000000001</v>
      </c>
      <c r="E56" s="3">
        <v>-151.3235</v>
      </c>
      <c r="F56" s="1" t="s">
        <v>139</v>
      </c>
      <c r="G56" s="2" t="s">
        <v>73</v>
      </c>
      <c r="H56" s="11">
        <v>41381</v>
      </c>
      <c r="I56" s="9">
        <v>0.37847222222222227</v>
      </c>
      <c r="J56" s="3">
        <v>26</v>
      </c>
      <c r="K56" s="3">
        <v>26.5</v>
      </c>
      <c r="L56" s="3">
        <v>35.700000000000003</v>
      </c>
      <c r="M56" s="3">
        <v>13.5</v>
      </c>
      <c r="N56" s="3" t="s">
        <v>88</v>
      </c>
      <c r="O56" s="3">
        <v>10</v>
      </c>
      <c r="P56" s="2">
        <v>5.3</v>
      </c>
      <c r="Q56" s="2">
        <v>17.7</v>
      </c>
      <c r="R56" s="2" t="s">
        <v>37</v>
      </c>
    </row>
    <row r="57" spans="1:32">
      <c r="A57" s="3">
        <v>39</v>
      </c>
      <c r="B57" s="3" t="s">
        <v>137</v>
      </c>
      <c r="C57" s="3" t="s">
        <v>138</v>
      </c>
      <c r="D57" s="3" t="s">
        <v>72</v>
      </c>
      <c r="F57" s="1" t="s">
        <v>141</v>
      </c>
      <c r="H57" s="11">
        <v>41381</v>
      </c>
      <c r="I57" s="9">
        <v>0.38541666666666669</v>
      </c>
      <c r="J57" s="2">
        <v>26</v>
      </c>
      <c r="K57" s="3">
        <v>26.5</v>
      </c>
      <c r="L57" s="3">
        <v>35.700000000000003</v>
      </c>
      <c r="M57" s="2">
        <v>11.5</v>
      </c>
      <c r="N57" s="3" t="s">
        <v>88</v>
      </c>
      <c r="O57" s="3">
        <v>20</v>
      </c>
      <c r="P57" s="2">
        <v>7.8</v>
      </c>
      <c r="Q57" s="2">
        <v>42.4</v>
      </c>
      <c r="R57" s="2" t="s">
        <v>37</v>
      </c>
    </row>
    <row r="58" spans="1:32">
      <c r="A58" s="3">
        <v>40.1</v>
      </c>
      <c r="B58" s="3" t="s">
        <v>137</v>
      </c>
      <c r="C58" s="3" t="s">
        <v>138</v>
      </c>
      <c r="D58" s="3">
        <v>-22.452200000000001</v>
      </c>
      <c r="E58" s="3">
        <v>-151.3235</v>
      </c>
      <c r="F58" s="1" t="s">
        <v>40</v>
      </c>
      <c r="G58" s="3" t="s">
        <v>142</v>
      </c>
      <c r="H58" s="11">
        <v>41381</v>
      </c>
      <c r="I58" s="9">
        <v>0.3923611111111111</v>
      </c>
      <c r="J58" s="2">
        <v>26</v>
      </c>
      <c r="K58" s="3">
        <v>26.5</v>
      </c>
      <c r="L58" s="3">
        <v>35.700000000000003</v>
      </c>
      <c r="M58" s="2">
        <v>11</v>
      </c>
      <c r="N58" s="3" t="s">
        <v>88</v>
      </c>
      <c r="O58" s="3">
        <v>15</v>
      </c>
      <c r="P58" s="2">
        <v>10.3</v>
      </c>
      <c r="Q58" s="2">
        <v>74.7</v>
      </c>
      <c r="R58" s="2" t="s">
        <v>37</v>
      </c>
    </row>
    <row r="59" spans="1:32">
      <c r="A59" s="3">
        <v>40.200000000000003</v>
      </c>
      <c r="B59" s="3" t="s">
        <v>137</v>
      </c>
      <c r="C59" s="3" t="s">
        <v>138</v>
      </c>
      <c r="D59" s="3">
        <v>-22.452200000000001</v>
      </c>
      <c r="E59" s="3">
        <v>-151.3235</v>
      </c>
      <c r="F59" s="1" t="s">
        <v>40</v>
      </c>
      <c r="H59" s="11">
        <v>41381</v>
      </c>
      <c r="I59" s="9">
        <v>0.3923611111111111</v>
      </c>
      <c r="J59" s="2">
        <v>26</v>
      </c>
      <c r="K59" s="3">
        <v>26.5</v>
      </c>
      <c r="L59" s="3">
        <v>35.700000000000003</v>
      </c>
      <c r="M59" s="2">
        <v>11</v>
      </c>
      <c r="N59" s="3" t="s">
        <v>88</v>
      </c>
      <c r="O59" s="3">
        <v>15</v>
      </c>
      <c r="P59" s="2">
        <v>10.3</v>
      </c>
      <c r="Q59" s="2">
        <v>74.7</v>
      </c>
      <c r="R59" s="2" t="s">
        <v>37</v>
      </c>
      <c r="S59" s="3">
        <v>42.4</v>
      </c>
      <c r="T59" s="3">
        <v>2.2200000000000002</v>
      </c>
      <c r="U59" s="3">
        <v>1.01</v>
      </c>
      <c r="V59" s="3">
        <f>42.4*30/1000</f>
        <v>1.272</v>
      </c>
      <c r="W59" s="3" t="s">
        <v>47</v>
      </c>
      <c r="X59" s="3">
        <v>200</v>
      </c>
      <c r="Y59" s="7">
        <v>41609</v>
      </c>
      <c r="Z59" s="3">
        <v>71.2</v>
      </c>
      <c r="AA59" s="3">
        <v>1.95</v>
      </c>
      <c r="AB59" s="3">
        <v>1.28</v>
      </c>
      <c r="AC59" s="3">
        <f>50*Z59/1000</f>
        <v>3.56</v>
      </c>
      <c r="AD59" s="3" t="s">
        <v>44</v>
      </c>
      <c r="AE59" s="3">
        <f>V59/AC59</f>
        <v>0.35730337078651686</v>
      </c>
      <c r="AF59" s="3" t="s">
        <v>53</v>
      </c>
    </row>
    <row r="60" spans="1:32">
      <c r="A60" s="3">
        <v>41</v>
      </c>
      <c r="B60" s="3" t="s">
        <v>137</v>
      </c>
      <c r="C60" s="3" t="s">
        <v>143</v>
      </c>
      <c r="D60" s="3">
        <v>-22.432300000000001</v>
      </c>
      <c r="E60" s="3">
        <v>-151.376</v>
      </c>
      <c r="F60" s="1" t="s">
        <v>141</v>
      </c>
      <c r="G60" s="3" t="s">
        <v>92</v>
      </c>
      <c r="H60" s="11">
        <v>41381</v>
      </c>
      <c r="I60" s="9">
        <v>0.46875</v>
      </c>
      <c r="J60" s="2">
        <v>26</v>
      </c>
      <c r="K60" s="3">
        <v>26.6</v>
      </c>
      <c r="L60" s="3">
        <v>35.6</v>
      </c>
      <c r="M60" s="2">
        <v>15</v>
      </c>
      <c r="N60" s="3" t="s">
        <v>88</v>
      </c>
      <c r="O60" s="3">
        <v>10</v>
      </c>
      <c r="P60" s="2">
        <v>6.8</v>
      </c>
      <c r="Q60" s="2">
        <v>25.7</v>
      </c>
      <c r="R60" s="2" t="s">
        <v>37</v>
      </c>
    </row>
    <row r="61" spans="1:32">
      <c r="A61" s="3">
        <v>42</v>
      </c>
      <c r="B61" s="3" t="s">
        <v>137</v>
      </c>
      <c r="C61" s="3" t="s">
        <v>143</v>
      </c>
      <c r="D61" s="3">
        <v>-22.432300000000001</v>
      </c>
      <c r="E61" s="3">
        <v>-151.376</v>
      </c>
      <c r="F61" s="1" t="s">
        <v>141</v>
      </c>
      <c r="G61" s="3" t="s">
        <v>124</v>
      </c>
      <c r="H61" s="11">
        <v>41381</v>
      </c>
      <c r="I61" s="9">
        <v>0.47569444444444442</v>
      </c>
      <c r="J61" s="2">
        <v>26</v>
      </c>
      <c r="K61" s="3">
        <v>26.6</v>
      </c>
      <c r="L61" s="3">
        <v>35.6</v>
      </c>
      <c r="M61" s="2">
        <v>14</v>
      </c>
      <c r="N61" s="3" t="s">
        <v>88</v>
      </c>
      <c r="O61" s="3">
        <v>10</v>
      </c>
      <c r="P61" s="2">
        <v>6.1</v>
      </c>
      <c r="Q61" s="2">
        <v>19.399999999999999</v>
      </c>
      <c r="R61" s="2" t="s">
        <v>37</v>
      </c>
    </row>
    <row r="62" spans="1:32">
      <c r="A62" s="3">
        <v>43</v>
      </c>
      <c r="B62" s="3" t="s">
        <v>137</v>
      </c>
      <c r="C62" s="3" t="s">
        <v>144</v>
      </c>
      <c r="D62" s="3">
        <v>-22.520399999999999</v>
      </c>
      <c r="E62" s="3">
        <v>-151.33269999999999</v>
      </c>
      <c r="F62" s="1" t="s">
        <v>141</v>
      </c>
      <c r="G62" s="3" t="s">
        <v>124</v>
      </c>
      <c r="H62" s="11">
        <v>41381</v>
      </c>
      <c r="I62" s="9">
        <v>0.62152777777777779</v>
      </c>
      <c r="J62" s="2">
        <v>26</v>
      </c>
      <c r="K62" s="3">
        <v>26.6</v>
      </c>
      <c r="L62" s="3">
        <v>35.700000000000003</v>
      </c>
      <c r="M62" s="2">
        <v>19.5</v>
      </c>
      <c r="N62" s="3" t="s">
        <v>88</v>
      </c>
      <c r="O62" s="13" t="s">
        <v>145</v>
      </c>
      <c r="P62" s="2">
        <v>9</v>
      </c>
      <c r="Q62" s="2">
        <v>33.9</v>
      </c>
      <c r="R62" s="2" t="s">
        <v>37</v>
      </c>
    </row>
    <row r="63" spans="1:32">
      <c r="A63" s="3">
        <v>44.1</v>
      </c>
      <c r="B63" s="3" t="s">
        <v>137</v>
      </c>
      <c r="C63" s="3" t="s">
        <v>144</v>
      </c>
      <c r="D63" s="3">
        <v>-22.520399999999999</v>
      </c>
      <c r="E63" s="3">
        <v>-151.33269999999999</v>
      </c>
      <c r="F63" s="1" t="s">
        <v>139</v>
      </c>
      <c r="G63" s="2" t="s">
        <v>73</v>
      </c>
      <c r="H63" s="11">
        <v>41381</v>
      </c>
      <c r="I63" s="9">
        <v>0.63194444444444442</v>
      </c>
      <c r="J63" s="2">
        <v>26</v>
      </c>
      <c r="K63" s="3">
        <v>26.6</v>
      </c>
      <c r="L63" s="3">
        <v>35.700000000000003</v>
      </c>
      <c r="M63" s="2">
        <v>10.5</v>
      </c>
      <c r="N63" s="3" t="s">
        <v>88</v>
      </c>
      <c r="O63" s="3" t="s">
        <v>145</v>
      </c>
      <c r="P63" s="2">
        <v>3.7</v>
      </c>
      <c r="Q63" s="2">
        <v>6.3</v>
      </c>
      <c r="R63" s="2" t="s">
        <v>37</v>
      </c>
      <c r="S63" s="3" t="s">
        <v>59</v>
      </c>
      <c r="Y63" s="7">
        <v>41609</v>
      </c>
      <c r="Z63" s="3">
        <v>10.9</v>
      </c>
      <c r="AA63" s="3">
        <v>2.0099999999999998</v>
      </c>
      <c r="AB63" s="3">
        <v>0.12</v>
      </c>
      <c r="AC63" s="3">
        <f>10.9*50/1000</f>
        <v>0.54500000000000004</v>
      </c>
      <c r="AD63" s="3" t="s">
        <v>64</v>
      </c>
      <c r="AF63" s="3" t="s">
        <v>53</v>
      </c>
    </row>
    <row r="64" spans="1:32" s="21" customFormat="1">
      <c r="A64" s="21">
        <v>45.1</v>
      </c>
      <c r="B64" s="21" t="s">
        <v>137</v>
      </c>
      <c r="C64" s="21" t="s">
        <v>144</v>
      </c>
      <c r="D64" s="21">
        <v>-22.520399999999999</v>
      </c>
      <c r="E64" s="21">
        <v>-151.33269999999999</v>
      </c>
      <c r="F64" s="29" t="s">
        <v>146</v>
      </c>
      <c r="G64" s="19" t="s">
        <v>73</v>
      </c>
      <c r="H64" s="22">
        <v>41381</v>
      </c>
      <c r="I64" s="23">
        <v>0.64930555555555558</v>
      </c>
      <c r="J64" s="19">
        <v>26</v>
      </c>
      <c r="K64" s="21">
        <v>26.6</v>
      </c>
      <c r="L64" s="21">
        <v>35.700000000000003</v>
      </c>
      <c r="M64" s="19">
        <v>9</v>
      </c>
      <c r="N64" s="21" t="s">
        <v>88</v>
      </c>
      <c r="O64" s="21" t="s">
        <v>145</v>
      </c>
      <c r="P64" s="19">
        <v>4.9000000000000004</v>
      </c>
      <c r="Q64" s="19">
        <v>12.3</v>
      </c>
      <c r="R64" s="19" t="s">
        <v>37</v>
      </c>
      <c r="S64" s="21" t="s">
        <v>59</v>
      </c>
      <c r="Z64" s="21">
        <v>14.3</v>
      </c>
      <c r="AA64" s="21">
        <v>1.81</v>
      </c>
      <c r="AB64" s="21">
        <v>0.13</v>
      </c>
      <c r="AC64" s="21">
        <f>14.3*50/1000</f>
        <v>0.71499999999999997</v>
      </c>
      <c r="AD64" s="21" t="s">
        <v>60</v>
      </c>
      <c r="AF64" s="21" t="s">
        <v>79</v>
      </c>
    </row>
    <row r="65" spans="1:45">
      <c r="B65" s="3" t="s">
        <v>147</v>
      </c>
      <c r="C65" s="3" t="s">
        <v>148</v>
      </c>
      <c r="D65" s="3">
        <v>-22.640599999999999</v>
      </c>
      <c r="E65" s="3">
        <v>-152.82230000000001</v>
      </c>
      <c r="F65" s="2" t="s">
        <v>149</v>
      </c>
      <c r="G65" s="3" t="s">
        <v>150</v>
      </c>
      <c r="H65" s="11">
        <v>41382</v>
      </c>
      <c r="I65" s="3" t="s">
        <v>42</v>
      </c>
      <c r="J65" s="3" t="s">
        <v>42</v>
      </c>
      <c r="K65" s="3">
        <v>26.3</v>
      </c>
      <c r="L65" s="3">
        <v>35.700000000000003</v>
      </c>
      <c r="N65" s="3">
        <f>AVERAGE(M56:M64)</f>
        <v>12.777777777777779</v>
      </c>
      <c r="R65" s="2" t="s">
        <v>37</v>
      </c>
    </row>
    <row r="66" spans="1:45">
      <c r="B66" s="3" t="s">
        <v>147</v>
      </c>
      <c r="C66" s="3" t="s">
        <v>151</v>
      </c>
      <c r="D66" s="3">
        <v>-22.666499999999999</v>
      </c>
      <c r="E66" s="3">
        <v>-152.79580000000001</v>
      </c>
      <c r="F66" s="1"/>
      <c r="G66" s="3" t="s">
        <v>150</v>
      </c>
      <c r="H66" s="11">
        <v>41382</v>
      </c>
      <c r="I66" s="3" t="s">
        <v>42</v>
      </c>
      <c r="J66" s="3" t="s">
        <v>42</v>
      </c>
      <c r="K66" s="3">
        <v>26.2</v>
      </c>
      <c r="L66" s="3">
        <v>35.700000000000003</v>
      </c>
      <c r="N66" s="3">
        <f>STDEV(M56:M64)</f>
        <v>3.1534813214040853</v>
      </c>
      <c r="R66" s="2" t="s">
        <v>37</v>
      </c>
    </row>
    <row r="67" spans="1:45">
      <c r="B67" s="3" t="s">
        <v>147</v>
      </c>
      <c r="C67" s="3" t="s">
        <v>152</v>
      </c>
      <c r="D67" s="3">
        <v>-22.643999999999998</v>
      </c>
      <c r="E67" s="3">
        <v>-152.78819999999999</v>
      </c>
      <c r="F67" s="1"/>
      <c r="G67" s="3" t="s">
        <v>150</v>
      </c>
      <c r="H67" s="11">
        <v>41382</v>
      </c>
      <c r="I67" s="3" t="s">
        <v>42</v>
      </c>
      <c r="J67" s="3" t="s">
        <v>42</v>
      </c>
      <c r="K67" s="3">
        <v>26.3</v>
      </c>
      <c r="L67" s="3">
        <v>35.700000000000003</v>
      </c>
      <c r="N67" s="3">
        <f>AVERAGE(M70:M91)</f>
        <v>13.272727272727273</v>
      </c>
      <c r="R67" s="2" t="s">
        <v>37</v>
      </c>
    </row>
    <row r="68" spans="1:45">
      <c r="B68" s="3" t="s">
        <v>147</v>
      </c>
      <c r="C68" s="3" t="s">
        <v>153</v>
      </c>
      <c r="D68" s="3">
        <v>-22.6648</v>
      </c>
      <c r="E68" s="3">
        <v>-152.81630000000001</v>
      </c>
      <c r="F68" s="1"/>
      <c r="G68" s="3" t="s">
        <v>154</v>
      </c>
      <c r="H68" s="11">
        <v>41383</v>
      </c>
      <c r="I68" s="3" t="s">
        <v>42</v>
      </c>
      <c r="J68" s="3" t="s">
        <v>42</v>
      </c>
      <c r="K68" s="3">
        <v>26.1</v>
      </c>
      <c r="L68" s="3">
        <v>35.6</v>
      </c>
      <c r="N68" s="3">
        <f>STDEV(M70:M91)</f>
        <v>2.93065599972849</v>
      </c>
      <c r="R68" s="2" t="s">
        <v>37</v>
      </c>
    </row>
    <row r="69" spans="1:45">
      <c r="A69" s="21"/>
      <c r="B69" s="21" t="s">
        <v>147</v>
      </c>
      <c r="C69" s="21" t="s">
        <v>155</v>
      </c>
      <c r="D69" s="21">
        <v>-22.659199999999998</v>
      </c>
      <c r="E69" s="21">
        <v>-152.81630000000001</v>
      </c>
      <c r="F69" s="21" t="s">
        <v>156</v>
      </c>
      <c r="G69" s="21"/>
      <c r="H69" s="22"/>
      <c r="I69" s="21"/>
      <c r="J69" s="21"/>
      <c r="K69" s="21">
        <v>26</v>
      </c>
      <c r="L69" s="21">
        <v>35.700000000000003</v>
      </c>
      <c r="M69" s="21"/>
      <c r="N69" s="21"/>
      <c r="O69" s="21"/>
      <c r="P69" s="21"/>
      <c r="Q69" s="21"/>
      <c r="R69" s="19" t="s">
        <v>37</v>
      </c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</row>
    <row r="70" spans="1:45">
      <c r="A70" s="3">
        <v>46.1</v>
      </c>
      <c r="B70" s="3" t="s">
        <v>157</v>
      </c>
      <c r="C70" s="3" t="s">
        <v>158</v>
      </c>
      <c r="D70" s="3" t="s">
        <v>72</v>
      </c>
      <c r="F70" s="1" t="s">
        <v>141</v>
      </c>
      <c r="G70" s="3" t="s">
        <v>159</v>
      </c>
      <c r="H70" s="11">
        <v>41384</v>
      </c>
      <c r="I70" s="9">
        <v>0.40625</v>
      </c>
      <c r="J70" s="3">
        <v>26</v>
      </c>
      <c r="K70" s="3">
        <v>26.7</v>
      </c>
      <c r="L70" s="3">
        <v>35.700000000000003</v>
      </c>
      <c r="M70" s="3">
        <v>15</v>
      </c>
      <c r="N70" s="3" t="s">
        <v>84</v>
      </c>
      <c r="O70" s="3">
        <v>50</v>
      </c>
      <c r="P70" s="2">
        <v>12.4</v>
      </c>
      <c r="Q70" s="2">
        <v>75.400000000000006</v>
      </c>
      <c r="R70" s="2" t="s">
        <v>37</v>
      </c>
      <c r="S70" s="3">
        <v>22</v>
      </c>
      <c r="T70" s="3">
        <v>2.1800000000000002</v>
      </c>
      <c r="U70" s="3">
        <v>1.68</v>
      </c>
      <c r="V70" s="3">
        <f>22*30/1000</f>
        <v>0.66</v>
      </c>
      <c r="W70" s="3" t="s">
        <v>60</v>
      </c>
      <c r="X70" s="3">
        <v>200</v>
      </c>
      <c r="Y70" s="7">
        <v>41609</v>
      </c>
      <c r="Z70" s="3">
        <v>16.2</v>
      </c>
      <c r="AA70" s="3">
        <v>1.98</v>
      </c>
      <c r="AB70" s="3">
        <v>0.14000000000000001</v>
      </c>
      <c r="AC70" s="3">
        <f>30*Z70/1000</f>
        <v>0.48599999999999999</v>
      </c>
      <c r="AD70" s="3" t="s">
        <v>60</v>
      </c>
      <c r="AE70" s="3">
        <f>V70/AC70</f>
        <v>1.3580246913580247</v>
      </c>
      <c r="AF70" s="3" t="s">
        <v>53</v>
      </c>
    </row>
    <row r="71" spans="1:45">
      <c r="A71" s="3">
        <v>47.1</v>
      </c>
      <c r="B71" s="3" t="s">
        <v>157</v>
      </c>
      <c r="C71" s="3" t="s">
        <v>158</v>
      </c>
      <c r="D71" s="3">
        <v>-21.812999999999999</v>
      </c>
      <c r="E71" s="3">
        <v>-154.6891</v>
      </c>
      <c r="F71" s="1" t="s">
        <v>141</v>
      </c>
      <c r="G71" s="3" t="s">
        <v>160</v>
      </c>
      <c r="H71" s="11">
        <v>41384</v>
      </c>
      <c r="I71" s="9">
        <v>0.41319444444444442</v>
      </c>
      <c r="J71" s="3">
        <v>26</v>
      </c>
      <c r="K71" s="3">
        <v>26.7</v>
      </c>
      <c r="L71" s="3">
        <v>35.700000000000003</v>
      </c>
      <c r="M71" s="3">
        <v>16</v>
      </c>
      <c r="N71" s="3" t="s">
        <v>84</v>
      </c>
      <c r="O71" s="3">
        <v>50</v>
      </c>
      <c r="P71" s="3">
        <v>9.6</v>
      </c>
      <c r="Q71" s="3">
        <v>52.5</v>
      </c>
      <c r="R71" s="2" t="s">
        <v>37</v>
      </c>
      <c r="S71" s="3">
        <v>19.7</v>
      </c>
      <c r="T71" s="3">
        <v>2.12</v>
      </c>
      <c r="U71" s="3">
        <v>0.35</v>
      </c>
      <c r="V71" s="3">
        <f>19.7*30/1000</f>
        <v>0.59099999999999997</v>
      </c>
      <c r="W71" s="3" t="s">
        <v>64</v>
      </c>
      <c r="X71" s="3">
        <v>197</v>
      </c>
      <c r="Y71" s="7">
        <v>41640</v>
      </c>
      <c r="Z71" s="3">
        <v>25.3</v>
      </c>
      <c r="AA71" s="3">
        <v>2.15</v>
      </c>
      <c r="AB71" s="3">
        <v>0.21</v>
      </c>
      <c r="AC71" s="3">
        <f>25.3*50/1000</f>
        <v>1.2649999999999999</v>
      </c>
      <c r="AD71" s="3" t="s">
        <v>44</v>
      </c>
      <c r="AE71" s="3">
        <f>V71/AC71</f>
        <v>0.46719367588932809</v>
      </c>
      <c r="AF71" s="3" t="s">
        <v>53</v>
      </c>
    </row>
    <row r="72" spans="1:45">
      <c r="A72" s="3">
        <v>48.1</v>
      </c>
      <c r="B72" s="3" t="s">
        <v>157</v>
      </c>
      <c r="C72" s="3" t="s">
        <v>158</v>
      </c>
      <c r="D72" s="3">
        <v>-21.812999999999999</v>
      </c>
      <c r="E72" s="3">
        <v>-154.6891</v>
      </c>
      <c r="F72" s="2" t="s">
        <v>161</v>
      </c>
      <c r="G72" s="3" t="s">
        <v>162</v>
      </c>
      <c r="H72" s="11">
        <v>41384</v>
      </c>
      <c r="I72" s="9">
        <v>0.4236111111111111</v>
      </c>
      <c r="J72" s="3">
        <v>26</v>
      </c>
      <c r="K72" s="3">
        <v>26.7</v>
      </c>
      <c r="L72" s="3">
        <v>35.700000000000003</v>
      </c>
      <c r="M72" s="3">
        <v>14.5</v>
      </c>
      <c r="N72" s="3" t="s">
        <v>163</v>
      </c>
      <c r="O72" s="3">
        <v>50</v>
      </c>
      <c r="P72" s="3">
        <v>5.4</v>
      </c>
      <c r="Q72" s="3">
        <v>15.8</v>
      </c>
      <c r="R72" s="2" t="s">
        <v>37</v>
      </c>
      <c r="S72" s="3">
        <v>21.8</v>
      </c>
      <c r="T72" s="3">
        <v>2.11</v>
      </c>
      <c r="U72" s="3">
        <v>0.16</v>
      </c>
      <c r="V72" s="3">
        <f>21.8*30/1000</f>
        <v>0.65400000000000003</v>
      </c>
      <c r="W72" s="3" t="s">
        <v>64</v>
      </c>
      <c r="X72" s="3">
        <v>218</v>
      </c>
      <c r="Y72" s="7">
        <v>41640</v>
      </c>
      <c r="Z72" s="3">
        <v>12.7</v>
      </c>
      <c r="AA72" s="3">
        <v>2.5299999999999998</v>
      </c>
      <c r="AB72" s="3">
        <v>0.05</v>
      </c>
      <c r="AC72" s="3">
        <f>12.7*50/1000</f>
        <v>0.63500000000000001</v>
      </c>
      <c r="AD72" s="3" t="s">
        <v>64</v>
      </c>
      <c r="AE72" s="3">
        <f>V72/AC72</f>
        <v>1.0299212598425198</v>
      </c>
      <c r="AF72" s="3" t="s">
        <v>53</v>
      </c>
    </row>
    <row r="73" spans="1:45">
      <c r="A73" s="3">
        <v>48.2</v>
      </c>
      <c r="B73" s="3" t="s">
        <v>157</v>
      </c>
      <c r="C73" s="3" t="s">
        <v>158</v>
      </c>
      <c r="D73" s="3">
        <v>-21.812999999999999</v>
      </c>
      <c r="E73" s="3">
        <v>-154.6891</v>
      </c>
      <c r="F73" s="3" t="s">
        <v>70</v>
      </c>
      <c r="H73" s="11">
        <v>41384</v>
      </c>
      <c r="I73" s="9">
        <v>0.4236111111111111</v>
      </c>
      <c r="J73" s="3">
        <v>26</v>
      </c>
      <c r="K73" s="3">
        <v>26.7</v>
      </c>
      <c r="L73" s="3">
        <v>35.700000000000003</v>
      </c>
      <c r="M73" s="3">
        <v>14.5</v>
      </c>
      <c r="N73" s="3" t="s">
        <v>163</v>
      </c>
      <c r="O73" s="3">
        <v>50</v>
      </c>
      <c r="P73" s="3">
        <v>5.4</v>
      </c>
      <c r="Q73" s="3">
        <v>15.8</v>
      </c>
      <c r="R73" s="2" t="s">
        <v>37</v>
      </c>
      <c r="Y73" s="7"/>
    </row>
    <row r="74" spans="1:45">
      <c r="A74" s="3">
        <v>49.1</v>
      </c>
      <c r="B74" s="3" t="s">
        <v>157</v>
      </c>
      <c r="C74" s="3" t="s">
        <v>158</v>
      </c>
      <c r="D74" s="3">
        <v>-21.812999999999999</v>
      </c>
      <c r="E74" s="3">
        <v>-154.6891</v>
      </c>
      <c r="F74" s="1" t="s">
        <v>141</v>
      </c>
      <c r="G74" s="3" t="s">
        <v>164</v>
      </c>
      <c r="H74" s="11">
        <v>41384</v>
      </c>
      <c r="I74" s="9">
        <v>0.43055555555555558</v>
      </c>
      <c r="J74" s="3">
        <v>26</v>
      </c>
      <c r="K74" s="3">
        <v>26.7</v>
      </c>
      <c r="L74" s="3">
        <v>35.700000000000003</v>
      </c>
      <c r="M74" s="3">
        <v>13.5</v>
      </c>
      <c r="N74" s="3" t="s">
        <v>163</v>
      </c>
      <c r="O74" s="3" t="s">
        <v>165</v>
      </c>
      <c r="P74" s="3">
        <v>13.6</v>
      </c>
      <c r="Q74" s="3">
        <v>89.1</v>
      </c>
      <c r="R74" s="2" t="s">
        <v>37</v>
      </c>
      <c r="S74" s="3">
        <v>73.2</v>
      </c>
      <c r="T74" s="3">
        <v>2.13</v>
      </c>
      <c r="U74" s="3">
        <v>0.54</v>
      </c>
      <c r="V74" s="3">
        <f>73.2*30/1000</f>
        <v>2.1960000000000002</v>
      </c>
      <c r="W74" s="3" t="s">
        <v>47</v>
      </c>
      <c r="X74" s="3">
        <v>200</v>
      </c>
      <c r="Y74" s="7">
        <v>41640</v>
      </c>
      <c r="Z74" s="3">
        <v>43.5</v>
      </c>
      <c r="AA74" s="3">
        <v>1.93</v>
      </c>
      <c r="AB74" s="3">
        <v>0.77</v>
      </c>
      <c r="AC74" s="3">
        <f>43.5*50/1000</f>
        <v>2.1749999999999998</v>
      </c>
      <c r="AD74" s="3" t="s">
        <v>44</v>
      </c>
      <c r="AE74" s="3">
        <f>V74/AC74</f>
        <v>1.0096551724137932</v>
      </c>
      <c r="AF74" s="3" t="s">
        <v>53</v>
      </c>
    </row>
    <row r="75" spans="1:45">
      <c r="A75" s="3">
        <v>50.1</v>
      </c>
      <c r="B75" s="3" t="s">
        <v>157</v>
      </c>
      <c r="C75" s="3" t="s">
        <v>166</v>
      </c>
      <c r="D75" s="3">
        <v>-21.790099999999999</v>
      </c>
      <c r="E75" s="3">
        <v>-154.7037</v>
      </c>
      <c r="F75" s="1" t="s">
        <v>141</v>
      </c>
      <c r="G75" s="3" t="s">
        <v>167</v>
      </c>
      <c r="H75" s="11">
        <v>41384</v>
      </c>
      <c r="I75" s="9">
        <v>0.49305555555555558</v>
      </c>
      <c r="J75" s="3">
        <v>27</v>
      </c>
      <c r="K75" s="3">
        <v>26.8</v>
      </c>
      <c r="L75" s="3">
        <v>35.700000000000003</v>
      </c>
      <c r="M75" s="3">
        <v>16.5</v>
      </c>
      <c r="N75" s="3" t="s">
        <v>163</v>
      </c>
      <c r="O75" s="3">
        <v>60</v>
      </c>
      <c r="P75" s="3">
        <v>7.9</v>
      </c>
      <c r="Q75" s="3">
        <v>37</v>
      </c>
      <c r="R75" s="2" t="s">
        <v>37</v>
      </c>
      <c r="S75" s="3">
        <v>26.4</v>
      </c>
      <c r="T75" s="3">
        <v>2.33</v>
      </c>
      <c r="U75" s="3">
        <v>7.0000000000000007E-2</v>
      </c>
      <c r="V75" s="3">
        <f>30*S75/1000</f>
        <v>0.79200000000000004</v>
      </c>
      <c r="W75" s="3" t="s">
        <v>60</v>
      </c>
      <c r="X75" s="3" t="s">
        <v>168</v>
      </c>
      <c r="Y75" s="7">
        <v>41609</v>
      </c>
      <c r="Z75" s="3">
        <v>118.6</v>
      </c>
      <c r="AA75" s="3">
        <v>1.92</v>
      </c>
      <c r="AB75" s="3">
        <v>2.25</v>
      </c>
      <c r="AC75" s="3">
        <f>Z75*50/1000</f>
        <v>5.93</v>
      </c>
      <c r="AD75" s="3" t="s">
        <v>44</v>
      </c>
      <c r="AE75" s="3">
        <f>V75/AC75</f>
        <v>0.13355817875210793</v>
      </c>
      <c r="AF75" s="3" t="s">
        <v>53</v>
      </c>
    </row>
    <row r="76" spans="1:45">
      <c r="A76" s="3">
        <v>51.1</v>
      </c>
      <c r="B76" s="3" t="s">
        <v>157</v>
      </c>
      <c r="C76" s="3" t="s">
        <v>166</v>
      </c>
      <c r="D76" s="3">
        <v>-21.790099999999999</v>
      </c>
      <c r="E76" s="3">
        <v>-154.7037</v>
      </c>
      <c r="F76" s="1" t="s">
        <v>141</v>
      </c>
      <c r="G76" s="3" t="s">
        <v>169</v>
      </c>
      <c r="H76" s="11">
        <v>41384</v>
      </c>
      <c r="I76" s="9">
        <v>0.50138888888888888</v>
      </c>
      <c r="J76" s="3">
        <v>27</v>
      </c>
      <c r="K76" s="3">
        <v>26.8</v>
      </c>
      <c r="L76" s="3">
        <v>35.700000000000003</v>
      </c>
      <c r="M76" s="3">
        <v>15</v>
      </c>
      <c r="N76" s="3" t="s">
        <v>163</v>
      </c>
      <c r="O76" s="3">
        <v>60</v>
      </c>
      <c r="P76" s="3">
        <v>2.8</v>
      </c>
      <c r="Q76" s="3">
        <v>4.5999999999999996</v>
      </c>
      <c r="R76" s="2" t="s">
        <v>37</v>
      </c>
      <c r="S76" s="3">
        <v>24.7</v>
      </c>
      <c r="T76" s="3">
        <v>2.1800000000000002</v>
      </c>
      <c r="U76" s="3">
        <v>1.91</v>
      </c>
      <c r="V76" s="3">
        <f>24.7*30/1000</f>
        <v>0.74099999999999999</v>
      </c>
      <c r="W76" s="3" t="s">
        <v>60</v>
      </c>
      <c r="X76" s="3">
        <v>200</v>
      </c>
      <c r="Y76" s="7">
        <v>41609</v>
      </c>
      <c r="Z76" s="3">
        <v>111.7</v>
      </c>
      <c r="AA76" s="3">
        <v>2</v>
      </c>
      <c r="AB76" s="3">
        <v>2.2200000000000002</v>
      </c>
      <c r="AC76" s="3">
        <f>111.7*50/1000</f>
        <v>5.585</v>
      </c>
      <c r="AD76" s="3" t="s">
        <v>44</v>
      </c>
      <c r="AE76" s="3">
        <f>V76/AC76</f>
        <v>0.13267681289167413</v>
      </c>
      <c r="AF76" s="3" t="s">
        <v>53</v>
      </c>
    </row>
    <row r="77" spans="1:45">
      <c r="A77" s="3">
        <v>52.1</v>
      </c>
      <c r="B77" s="3" t="s">
        <v>157</v>
      </c>
      <c r="C77" s="3" t="s">
        <v>166</v>
      </c>
      <c r="D77" s="3">
        <v>-21.790099999999999</v>
      </c>
      <c r="E77" s="3">
        <v>-154.7037</v>
      </c>
      <c r="F77" s="1" t="s">
        <v>141</v>
      </c>
      <c r="G77" s="3" t="s">
        <v>170</v>
      </c>
      <c r="H77" s="11">
        <v>41384</v>
      </c>
      <c r="I77" s="9">
        <v>0.51388888888888895</v>
      </c>
      <c r="J77" s="3">
        <v>27</v>
      </c>
      <c r="K77" s="3">
        <v>26.8</v>
      </c>
      <c r="L77" s="3">
        <v>35.700000000000003</v>
      </c>
      <c r="M77" s="3">
        <v>16.5</v>
      </c>
      <c r="N77" s="3" t="s">
        <v>163</v>
      </c>
      <c r="O77" s="3">
        <v>60</v>
      </c>
      <c r="P77" s="3">
        <v>10.3</v>
      </c>
      <c r="Q77" s="3">
        <v>58.9</v>
      </c>
      <c r="R77" s="2" t="s">
        <v>37</v>
      </c>
      <c r="S77" s="3">
        <v>44.4</v>
      </c>
      <c r="T77" s="3">
        <v>2.08</v>
      </c>
      <c r="U77" s="3">
        <v>0.46</v>
      </c>
      <c r="V77" s="3">
        <f>44.4*30/1000</f>
        <v>1.3320000000000001</v>
      </c>
      <c r="W77" s="3" t="s">
        <v>47</v>
      </c>
      <c r="X77" s="3">
        <v>200</v>
      </c>
      <c r="Y77" s="7">
        <v>41640</v>
      </c>
      <c r="Z77" s="3">
        <v>6.9</v>
      </c>
      <c r="AA77" s="3">
        <v>1.64</v>
      </c>
      <c r="AB77" s="3">
        <v>0.16</v>
      </c>
      <c r="AC77" s="3">
        <f>6.9*50/1000</f>
        <v>0.34499999999999997</v>
      </c>
      <c r="AD77" s="3" t="s">
        <v>64</v>
      </c>
      <c r="AE77" s="3">
        <f>V77/AC77</f>
        <v>3.8608695652173917</v>
      </c>
      <c r="AF77" s="3" t="s">
        <v>53</v>
      </c>
    </row>
    <row r="78" spans="1:45">
      <c r="A78" s="3">
        <v>52.2</v>
      </c>
      <c r="B78" s="3" t="s">
        <v>157</v>
      </c>
      <c r="C78" s="3" t="s">
        <v>166</v>
      </c>
      <c r="D78" s="3">
        <v>-21.790099999999999</v>
      </c>
      <c r="E78" s="3">
        <v>-154.7037</v>
      </c>
      <c r="F78" s="1" t="s">
        <v>141</v>
      </c>
      <c r="H78" s="11">
        <v>41384</v>
      </c>
      <c r="I78" s="9">
        <v>0.51388888888888895</v>
      </c>
      <c r="J78" s="3">
        <v>27</v>
      </c>
      <c r="K78" s="3">
        <v>26.8</v>
      </c>
      <c r="L78" s="3">
        <v>35.700000000000003</v>
      </c>
      <c r="M78" s="3">
        <v>16.5</v>
      </c>
      <c r="N78" s="3" t="s">
        <v>163</v>
      </c>
      <c r="O78" s="3">
        <v>60</v>
      </c>
      <c r="P78" s="3">
        <v>10.3</v>
      </c>
      <c r="Q78" s="3">
        <v>58.9</v>
      </c>
      <c r="R78" s="2" t="s">
        <v>37</v>
      </c>
      <c r="Y78" s="7"/>
    </row>
    <row r="79" spans="1:45">
      <c r="A79" s="3">
        <v>54.1</v>
      </c>
      <c r="B79" s="3" t="s">
        <v>157</v>
      </c>
      <c r="C79" s="3" t="s">
        <v>171</v>
      </c>
      <c r="D79" s="3">
        <v>-21.82</v>
      </c>
      <c r="E79" s="3">
        <v>-154.72389999999999</v>
      </c>
      <c r="F79" s="1" t="s">
        <v>129</v>
      </c>
      <c r="G79" s="3" t="s">
        <v>172</v>
      </c>
      <c r="H79" s="11">
        <v>41384</v>
      </c>
      <c r="I79" s="9">
        <v>0.68055555555555547</v>
      </c>
      <c r="J79" s="3">
        <v>26</v>
      </c>
      <c r="K79" s="3">
        <v>26.8</v>
      </c>
      <c r="L79" s="3">
        <v>35.700000000000003</v>
      </c>
      <c r="M79" s="3">
        <v>14.5</v>
      </c>
      <c r="N79" s="3" t="s">
        <v>173</v>
      </c>
      <c r="O79" s="3">
        <v>60</v>
      </c>
      <c r="P79" s="3">
        <v>4.5</v>
      </c>
      <c r="Q79" s="3">
        <v>10.6</v>
      </c>
      <c r="R79" s="2" t="s">
        <v>37</v>
      </c>
    </row>
    <row r="80" spans="1:45">
      <c r="A80" s="3">
        <v>54.2</v>
      </c>
      <c r="B80" s="3" t="s">
        <v>157</v>
      </c>
      <c r="C80" s="3" t="s">
        <v>171</v>
      </c>
      <c r="D80" s="3">
        <v>-21.82</v>
      </c>
      <c r="E80" s="3">
        <v>-154.72389999999999</v>
      </c>
      <c r="F80" s="1" t="s">
        <v>129</v>
      </c>
      <c r="G80" s="3" t="s">
        <v>172</v>
      </c>
      <c r="H80" s="11">
        <v>41384</v>
      </c>
      <c r="I80" s="9">
        <v>0.68055555555555547</v>
      </c>
      <c r="J80" s="3">
        <v>26</v>
      </c>
      <c r="K80" s="3">
        <v>26.8</v>
      </c>
      <c r="L80" s="3">
        <v>35.700000000000003</v>
      </c>
      <c r="M80" s="3">
        <v>14.5</v>
      </c>
      <c r="N80" s="3" t="s">
        <v>173</v>
      </c>
      <c r="O80" s="3">
        <v>60</v>
      </c>
      <c r="P80" s="3">
        <v>4.5</v>
      </c>
      <c r="Q80" s="3">
        <v>10.6</v>
      </c>
      <c r="R80" s="2" t="s">
        <v>37</v>
      </c>
      <c r="S80" s="3">
        <v>21.5</v>
      </c>
      <c r="T80" s="3">
        <v>2.2000000000000002</v>
      </c>
      <c r="U80" s="3">
        <v>0.37</v>
      </c>
      <c r="V80" s="3">
        <f>21.5*30/1000</f>
        <v>0.64500000000000002</v>
      </c>
      <c r="W80" s="3" t="s">
        <v>60</v>
      </c>
      <c r="X80" s="3">
        <v>200</v>
      </c>
      <c r="Y80" s="7">
        <v>41640</v>
      </c>
      <c r="Z80" s="3">
        <v>96.5</v>
      </c>
      <c r="AA80" s="3">
        <v>1.98</v>
      </c>
      <c r="AB80" s="3">
        <v>0.6</v>
      </c>
      <c r="AC80" s="3">
        <f>50*96.5/1000</f>
        <v>4.8250000000000002</v>
      </c>
      <c r="AD80" s="3" t="s">
        <v>44</v>
      </c>
      <c r="AE80" s="3">
        <f>V80/AC80</f>
        <v>0.13367875647668392</v>
      </c>
      <c r="AF80" s="3" t="s">
        <v>53</v>
      </c>
    </row>
    <row r="81" spans="1:45">
      <c r="A81" s="3">
        <v>55.1</v>
      </c>
      <c r="B81" s="3" t="s">
        <v>157</v>
      </c>
      <c r="C81" s="3" t="s">
        <v>171</v>
      </c>
      <c r="D81" s="3">
        <v>-21.82</v>
      </c>
      <c r="E81" s="3">
        <v>-154.72389999999999</v>
      </c>
      <c r="F81" s="1" t="s">
        <v>141</v>
      </c>
      <c r="G81" s="3" t="s">
        <v>170</v>
      </c>
      <c r="H81" s="11">
        <v>41384</v>
      </c>
      <c r="I81" s="9">
        <v>0.6875</v>
      </c>
      <c r="J81" s="3">
        <v>26</v>
      </c>
      <c r="K81" s="3">
        <v>26.8</v>
      </c>
      <c r="L81" s="3">
        <v>35.700000000000003</v>
      </c>
      <c r="M81" s="3">
        <v>14</v>
      </c>
      <c r="N81" s="3" t="s">
        <v>173</v>
      </c>
      <c r="O81" s="3">
        <v>60</v>
      </c>
      <c r="P81" s="3">
        <v>12.7</v>
      </c>
      <c r="Q81" s="3">
        <v>85.9</v>
      </c>
      <c r="R81" s="2" t="s">
        <v>37</v>
      </c>
      <c r="S81" s="3">
        <v>60.6</v>
      </c>
      <c r="T81" s="3">
        <v>2.2400000000000002</v>
      </c>
      <c r="U81" s="3">
        <v>0.63</v>
      </c>
      <c r="V81" s="3">
        <f>60.6*30/1000</f>
        <v>1.8180000000000001</v>
      </c>
      <c r="W81" s="3" t="s">
        <v>47</v>
      </c>
      <c r="X81" s="3">
        <v>200</v>
      </c>
      <c r="Y81" s="7">
        <v>41609</v>
      </c>
      <c r="Z81" s="3">
        <v>123.5</v>
      </c>
      <c r="AA81" s="3">
        <v>1.94</v>
      </c>
      <c r="AB81" s="3">
        <v>0.4</v>
      </c>
      <c r="AC81" s="3">
        <f>123.5*50/1000</f>
        <v>6.1749999999999998</v>
      </c>
      <c r="AD81" s="3" t="s">
        <v>44</v>
      </c>
      <c r="AE81" s="3">
        <f>V81/AC81</f>
        <v>0.29441295546558705</v>
      </c>
      <c r="AF81" s="3" t="s">
        <v>79</v>
      </c>
    </row>
    <row r="82" spans="1:45">
      <c r="A82" s="3">
        <v>56.1</v>
      </c>
      <c r="B82" s="3" t="s">
        <v>157</v>
      </c>
      <c r="C82" s="3" t="s">
        <v>171</v>
      </c>
      <c r="D82" s="3">
        <v>-21.82</v>
      </c>
      <c r="E82" s="3">
        <v>-154.72389999999999</v>
      </c>
      <c r="F82" s="1" t="s">
        <v>161</v>
      </c>
      <c r="G82" s="3" t="s">
        <v>107</v>
      </c>
      <c r="H82" s="11">
        <v>41384</v>
      </c>
      <c r="I82" s="9">
        <v>0.69444444444444453</v>
      </c>
      <c r="J82" s="3">
        <v>26</v>
      </c>
      <c r="K82" s="3">
        <v>26.8</v>
      </c>
      <c r="L82" s="3">
        <v>35.700000000000003</v>
      </c>
      <c r="M82" s="3">
        <v>13</v>
      </c>
      <c r="N82" s="3" t="s">
        <v>173</v>
      </c>
      <c r="O82" s="3">
        <v>60</v>
      </c>
      <c r="P82" s="3">
        <v>9.8000000000000007</v>
      </c>
      <c r="Q82" s="3">
        <v>44.6</v>
      </c>
      <c r="R82" s="2" t="s">
        <v>37</v>
      </c>
      <c r="S82" s="3">
        <v>38.4</v>
      </c>
      <c r="T82" s="3">
        <v>2.27</v>
      </c>
      <c r="U82" s="3">
        <v>0.25</v>
      </c>
      <c r="V82" s="3">
        <f>38.4*30/1000</f>
        <v>1.1519999999999999</v>
      </c>
      <c r="W82" s="3" t="s">
        <v>47</v>
      </c>
      <c r="X82" s="3">
        <v>200</v>
      </c>
      <c r="Y82" s="7">
        <v>41609</v>
      </c>
      <c r="Z82" s="3" t="s">
        <v>38</v>
      </c>
      <c r="AF82" s="3" t="s">
        <v>53</v>
      </c>
    </row>
    <row r="83" spans="1:45">
      <c r="A83" s="3">
        <v>56.2</v>
      </c>
      <c r="B83" s="15" t="s">
        <v>157</v>
      </c>
      <c r="C83" s="15" t="s">
        <v>171</v>
      </c>
      <c r="D83" s="15">
        <v>-21.82</v>
      </c>
      <c r="E83" s="15">
        <v>-154.72389999999999</v>
      </c>
      <c r="F83" s="15" t="s">
        <v>70</v>
      </c>
      <c r="H83" s="16">
        <v>41384</v>
      </c>
      <c r="I83" s="17">
        <v>0.69444444444444453</v>
      </c>
      <c r="J83" s="15">
        <v>26</v>
      </c>
      <c r="K83" s="15">
        <v>26.8</v>
      </c>
      <c r="L83" s="15">
        <v>35.700000000000003</v>
      </c>
      <c r="M83" s="15">
        <v>13</v>
      </c>
      <c r="N83" s="15" t="s">
        <v>173</v>
      </c>
      <c r="O83" s="15">
        <v>60</v>
      </c>
      <c r="P83" s="15">
        <v>9.8000000000000007</v>
      </c>
      <c r="Q83" s="15">
        <v>44.6</v>
      </c>
      <c r="R83" s="15" t="s">
        <v>37</v>
      </c>
      <c r="Y83" s="7"/>
    </row>
    <row r="84" spans="1:45">
      <c r="A84" s="3">
        <v>53.1</v>
      </c>
      <c r="B84" s="3" t="s">
        <v>157</v>
      </c>
      <c r="C84" s="3" t="s">
        <v>175</v>
      </c>
      <c r="D84" s="3" t="s">
        <v>72</v>
      </c>
      <c r="F84" s="1" t="s">
        <v>141</v>
      </c>
      <c r="G84" s="3" t="s">
        <v>176</v>
      </c>
      <c r="H84" s="11">
        <v>41385</v>
      </c>
      <c r="I84" s="9">
        <v>0.3888888888888889</v>
      </c>
      <c r="J84" s="3">
        <v>27</v>
      </c>
      <c r="K84" s="3">
        <v>26.6</v>
      </c>
      <c r="L84" s="3">
        <v>35.700000000000003</v>
      </c>
      <c r="M84" s="3">
        <v>13.5</v>
      </c>
      <c r="N84" s="3" t="s">
        <v>84</v>
      </c>
      <c r="O84" s="3">
        <v>70</v>
      </c>
      <c r="P84" s="3">
        <v>11.1</v>
      </c>
      <c r="Q84" s="3">
        <v>77.5</v>
      </c>
      <c r="R84" s="2" t="s">
        <v>37</v>
      </c>
      <c r="S84" s="3">
        <v>65</v>
      </c>
      <c r="T84" s="3">
        <v>2.15</v>
      </c>
      <c r="U84" s="3">
        <v>0.26</v>
      </c>
      <c r="V84" s="3">
        <f>65*30/1000</f>
        <v>1.95</v>
      </c>
      <c r="W84" s="3" t="s">
        <v>47</v>
      </c>
      <c r="X84" s="3">
        <v>200</v>
      </c>
      <c r="Y84" s="7">
        <v>41640</v>
      </c>
      <c r="Z84" s="3">
        <v>65.599999999999994</v>
      </c>
      <c r="AA84" s="3">
        <v>2.0099999999999998</v>
      </c>
      <c r="AB84" s="3">
        <v>1.42</v>
      </c>
      <c r="AC84" s="3">
        <f>65.6*50/10000</f>
        <v>0.32799999999999996</v>
      </c>
      <c r="AD84" s="3" t="s">
        <v>44</v>
      </c>
      <c r="AE84" s="3">
        <f>V84/AC84</f>
        <v>5.9451219512195133</v>
      </c>
      <c r="AF84" s="3" t="s">
        <v>53</v>
      </c>
    </row>
    <row r="85" spans="1:45">
      <c r="A85" s="3">
        <v>57.1</v>
      </c>
      <c r="B85" s="3" t="s">
        <v>157</v>
      </c>
      <c r="C85" s="3" t="s">
        <v>175</v>
      </c>
      <c r="D85" s="3">
        <v>-21.7972</v>
      </c>
      <c r="E85" s="3">
        <v>-154.6917</v>
      </c>
      <c r="F85" s="1" t="s">
        <v>141</v>
      </c>
      <c r="G85" s="3" t="s">
        <v>177</v>
      </c>
      <c r="H85" s="11">
        <v>41385</v>
      </c>
      <c r="I85" s="9">
        <v>0.39930555555555558</v>
      </c>
      <c r="J85" s="3">
        <v>26</v>
      </c>
      <c r="K85" s="3">
        <v>26.8</v>
      </c>
      <c r="L85" s="3">
        <v>35.700000000000003</v>
      </c>
      <c r="M85" s="3">
        <v>13</v>
      </c>
      <c r="N85" s="3" t="s">
        <v>84</v>
      </c>
      <c r="O85" s="3">
        <v>80</v>
      </c>
      <c r="P85" s="3">
        <v>8.8000000000000007</v>
      </c>
      <c r="Q85" s="3">
        <v>54.5</v>
      </c>
      <c r="R85" s="2" t="s">
        <v>37</v>
      </c>
      <c r="S85" s="3" t="s">
        <v>38</v>
      </c>
      <c r="Y85" s="7">
        <v>41640</v>
      </c>
      <c r="Z85" s="3">
        <v>14.7</v>
      </c>
      <c r="AA85" s="3">
        <v>1.97</v>
      </c>
      <c r="AB85" s="3">
        <v>0.38</v>
      </c>
      <c r="AC85" s="3">
        <f>14.7*50/1000</f>
        <v>0.73499999999999999</v>
      </c>
      <c r="AD85" s="3" t="s">
        <v>60</v>
      </c>
      <c r="AF85" s="3" t="s">
        <v>53</v>
      </c>
    </row>
    <row r="86" spans="1:45">
      <c r="A86" s="3">
        <v>58.1</v>
      </c>
      <c r="B86" s="3" t="s">
        <v>157</v>
      </c>
      <c r="C86" s="3" t="s">
        <v>175</v>
      </c>
      <c r="D86" s="3">
        <v>-21.7972</v>
      </c>
      <c r="E86" s="3">
        <v>-154.6917</v>
      </c>
      <c r="F86" s="1" t="s">
        <v>141</v>
      </c>
      <c r="G86" s="3" t="s">
        <v>178</v>
      </c>
      <c r="H86" s="11">
        <v>41385</v>
      </c>
      <c r="I86" s="9">
        <v>0.40972222222222227</v>
      </c>
      <c r="J86" s="3">
        <v>26</v>
      </c>
      <c r="K86" s="3">
        <v>26.8</v>
      </c>
      <c r="L86" s="3">
        <v>35.700000000000003</v>
      </c>
      <c r="M86" s="3">
        <v>13.5</v>
      </c>
      <c r="N86" s="3" t="s">
        <v>84</v>
      </c>
      <c r="O86" s="3">
        <v>85</v>
      </c>
      <c r="P86" s="3">
        <v>9.6</v>
      </c>
      <c r="Q86" s="3">
        <v>47</v>
      </c>
      <c r="R86" s="2" t="s">
        <v>37</v>
      </c>
      <c r="S86" s="3">
        <v>26.1</v>
      </c>
      <c r="T86" s="3">
        <v>2.15</v>
      </c>
      <c r="U86" s="3">
        <v>1.1000000000000001</v>
      </c>
      <c r="V86" s="3">
        <f>26.1*30/1000</f>
        <v>0.78300000000000003</v>
      </c>
      <c r="W86" s="3" t="s">
        <v>60</v>
      </c>
      <c r="X86" s="3">
        <v>200</v>
      </c>
      <c r="Y86" s="7">
        <v>41640</v>
      </c>
      <c r="Z86" s="3">
        <v>98</v>
      </c>
      <c r="AA86" s="3">
        <v>1.1499999999999999</v>
      </c>
      <c r="AB86" s="3">
        <v>0.62</v>
      </c>
      <c r="AC86" s="3">
        <f>98*50/1000</f>
        <v>4.9000000000000004</v>
      </c>
      <c r="AD86" s="3" t="s">
        <v>44</v>
      </c>
      <c r="AE86" s="3">
        <f>V86/AC86</f>
        <v>0.15979591836734694</v>
      </c>
      <c r="AF86" s="3" t="s">
        <v>53</v>
      </c>
    </row>
    <row r="87" spans="1:45">
      <c r="A87" s="3">
        <v>59.1</v>
      </c>
      <c r="B87" s="3" t="s">
        <v>157</v>
      </c>
      <c r="C87" s="3" t="s">
        <v>179</v>
      </c>
      <c r="D87" s="3">
        <v>-21.800799999999999</v>
      </c>
      <c r="E87" s="3">
        <v>-154.71799999999999</v>
      </c>
      <c r="F87" s="1" t="s">
        <v>141</v>
      </c>
      <c r="G87" s="3" t="s">
        <v>180</v>
      </c>
      <c r="H87" s="11">
        <v>41385</v>
      </c>
      <c r="I87" s="9">
        <v>0.4861111111111111</v>
      </c>
      <c r="J87" s="3">
        <v>26</v>
      </c>
      <c r="K87" s="3">
        <v>26.6</v>
      </c>
      <c r="L87" s="3">
        <v>35.700000000000003</v>
      </c>
      <c r="M87" s="3">
        <v>14</v>
      </c>
      <c r="N87" s="3" t="s">
        <v>84</v>
      </c>
      <c r="O87" s="3">
        <v>90</v>
      </c>
      <c r="P87" s="3">
        <v>12.3</v>
      </c>
      <c r="Q87" s="3">
        <v>86</v>
      </c>
      <c r="R87" s="2" t="s">
        <v>37</v>
      </c>
      <c r="S87" s="3">
        <v>54.3</v>
      </c>
      <c r="T87" s="3">
        <v>2.1</v>
      </c>
      <c r="U87" s="3">
        <v>0.48</v>
      </c>
      <c r="V87" s="3">
        <f>54.3*30/1000</f>
        <v>1.629</v>
      </c>
      <c r="W87" s="3" t="s">
        <v>47</v>
      </c>
      <c r="X87" s="3">
        <v>200</v>
      </c>
      <c r="Y87" s="7">
        <v>41640</v>
      </c>
      <c r="Z87" s="3">
        <v>79.7</v>
      </c>
      <c r="AA87" s="3">
        <v>2</v>
      </c>
      <c r="AB87" s="3">
        <v>1.39</v>
      </c>
      <c r="AC87" s="3">
        <f>50*79.7/1000</f>
        <v>3.9849999999999999</v>
      </c>
      <c r="AD87" s="3" t="s">
        <v>44</v>
      </c>
      <c r="AE87" s="3">
        <f>V87/AC87</f>
        <v>0.40878293601003768</v>
      </c>
      <c r="AF87" s="3" t="s">
        <v>53</v>
      </c>
    </row>
    <row r="88" spans="1:45">
      <c r="A88" s="3">
        <v>60.1</v>
      </c>
      <c r="B88" s="3" t="s">
        <v>157</v>
      </c>
      <c r="C88" s="3" t="s">
        <v>179</v>
      </c>
      <c r="D88" s="3">
        <v>-21.800799999999999</v>
      </c>
      <c r="E88" s="3">
        <v>-154.71799999999999</v>
      </c>
      <c r="F88" s="1" t="s">
        <v>141</v>
      </c>
      <c r="G88" s="3" t="s">
        <v>182</v>
      </c>
      <c r="H88" s="11">
        <v>41385</v>
      </c>
      <c r="I88" s="9">
        <v>0.48958333333333331</v>
      </c>
      <c r="J88" s="3">
        <v>26</v>
      </c>
      <c r="K88" s="3">
        <v>26.6</v>
      </c>
      <c r="L88" s="3">
        <v>35.700000000000003</v>
      </c>
      <c r="M88" s="3">
        <v>9</v>
      </c>
      <c r="N88" s="3" t="s">
        <v>84</v>
      </c>
      <c r="O88" s="3">
        <v>90</v>
      </c>
      <c r="P88" s="3">
        <v>10</v>
      </c>
      <c r="Q88" s="3">
        <v>52.3</v>
      </c>
      <c r="R88" s="2" t="s">
        <v>37</v>
      </c>
    </row>
    <row r="89" spans="1:45">
      <c r="A89" s="3">
        <v>60.2</v>
      </c>
      <c r="B89" s="3" t="s">
        <v>157</v>
      </c>
      <c r="C89" s="3" t="s">
        <v>179</v>
      </c>
      <c r="D89" s="3">
        <v>-21.800799999999999</v>
      </c>
      <c r="E89" s="3">
        <v>-154.71799999999999</v>
      </c>
      <c r="F89" s="1" t="s">
        <v>141</v>
      </c>
      <c r="G89" s="3" t="s">
        <v>182</v>
      </c>
      <c r="H89" s="11">
        <v>41385</v>
      </c>
      <c r="I89" s="9">
        <v>0.48958333333333331</v>
      </c>
      <c r="J89" s="3">
        <v>26</v>
      </c>
      <c r="K89" s="3">
        <v>26.6</v>
      </c>
      <c r="L89" s="3">
        <v>35.700000000000003</v>
      </c>
      <c r="M89" s="3">
        <v>9</v>
      </c>
      <c r="N89" s="3" t="s">
        <v>84</v>
      </c>
      <c r="O89" s="3">
        <v>90</v>
      </c>
      <c r="P89" s="3">
        <v>10</v>
      </c>
      <c r="Q89" s="3">
        <v>52.3</v>
      </c>
      <c r="R89" s="2" t="s">
        <v>37</v>
      </c>
      <c r="S89" s="3">
        <v>45.7</v>
      </c>
      <c r="T89" s="3">
        <v>2.0299999999999998</v>
      </c>
      <c r="U89" s="3">
        <v>0.84</v>
      </c>
      <c r="V89" s="3">
        <f>45.7*30/1000</f>
        <v>1.371</v>
      </c>
      <c r="W89" s="3" t="s">
        <v>47</v>
      </c>
      <c r="X89" s="3">
        <v>200</v>
      </c>
      <c r="Y89" s="7">
        <v>41640</v>
      </c>
      <c r="Z89" s="3">
        <v>85.1</v>
      </c>
      <c r="AA89" s="3">
        <v>1.94</v>
      </c>
      <c r="AB89" s="3">
        <v>0.57999999999999996</v>
      </c>
      <c r="AC89" s="3">
        <f>85.1*50/1000</f>
        <v>4.2549999999999999</v>
      </c>
      <c r="AD89" s="3" t="s">
        <v>44</v>
      </c>
      <c r="AE89" s="3">
        <f>V89/AC89</f>
        <v>0.32220916568742658</v>
      </c>
      <c r="AF89" s="3" t="s">
        <v>53</v>
      </c>
      <c r="AG89" s="3" t="s">
        <v>28</v>
      </c>
    </row>
    <row r="90" spans="1:45">
      <c r="A90" s="12">
        <v>61.1</v>
      </c>
      <c r="B90" s="12" t="s">
        <v>157</v>
      </c>
      <c r="C90" s="12" t="s">
        <v>179</v>
      </c>
      <c r="D90" s="12">
        <v>-21.800799999999999</v>
      </c>
      <c r="E90" s="12">
        <v>-154.71799999999999</v>
      </c>
      <c r="F90" s="1" t="s">
        <v>141</v>
      </c>
      <c r="G90" s="12" t="s">
        <v>178</v>
      </c>
      <c r="H90" s="35">
        <v>41385</v>
      </c>
      <c r="I90" s="36">
        <v>0.5</v>
      </c>
      <c r="J90" s="12">
        <v>26</v>
      </c>
      <c r="K90" s="12">
        <v>26.6</v>
      </c>
      <c r="L90" s="12">
        <v>35.700000000000003</v>
      </c>
      <c r="M90" s="12">
        <v>6.5</v>
      </c>
      <c r="N90" s="12" t="s">
        <v>84</v>
      </c>
      <c r="O90" s="12">
        <v>90</v>
      </c>
      <c r="P90" s="12">
        <v>10.8</v>
      </c>
      <c r="Q90" s="12">
        <v>38.799999999999997</v>
      </c>
      <c r="R90" s="18" t="s">
        <v>37</v>
      </c>
      <c r="S90" s="12">
        <v>14.8</v>
      </c>
      <c r="T90" s="12">
        <v>2.15</v>
      </c>
      <c r="U90" s="12">
        <v>0.75</v>
      </c>
      <c r="V90" s="12">
        <f>14.8*30/1000</f>
        <v>0.44400000000000001</v>
      </c>
      <c r="W90" s="12"/>
      <c r="X90" s="12"/>
      <c r="Y90" s="12"/>
      <c r="Z90" s="12">
        <v>2</v>
      </c>
      <c r="AA90" s="12">
        <v>1.8</v>
      </c>
      <c r="AB90" s="12">
        <v>0.04</v>
      </c>
      <c r="AC90" s="12">
        <f>50*2/1000</f>
        <v>0.1</v>
      </c>
      <c r="AD90" s="12" t="s">
        <v>42</v>
      </c>
      <c r="AE90" s="3">
        <f>V90/AC90</f>
        <v>4.4399999999999995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</row>
    <row r="91" spans="1:45" s="21" customFormat="1">
      <c r="A91" s="21">
        <v>61.2</v>
      </c>
      <c r="B91" s="21" t="s">
        <v>157</v>
      </c>
      <c r="C91" s="21" t="s">
        <v>179</v>
      </c>
      <c r="D91" s="21">
        <v>-21.800799999999999</v>
      </c>
      <c r="E91" s="21">
        <v>-154.71799999999999</v>
      </c>
      <c r="F91" s="29" t="s">
        <v>141</v>
      </c>
      <c r="G91" s="21" t="s">
        <v>178</v>
      </c>
      <c r="H91" s="22">
        <v>41385</v>
      </c>
      <c r="I91" s="23">
        <v>0.5</v>
      </c>
      <c r="J91" s="21">
        <v>26</v>
      </c>
      <c r="K91" s="21">
        <v>26.6</v>
      </c>
      <c r="L91" s="21">
        <v>35.700000000000003</v>
      </c>
      <c r="M91" s="21">
        <v>6.5</v>
      </c>
      <c r="N91" s="21" t="s">
        <v>84</v>
      </c>
      <c r="O91" s="21">
        <v>90</v>
      </c>
      <c r="P91" s="21">
        <v>10.8</v>
      </c>
      <c r="Q91" s="21">
        <v>38.799999999999997</v>
      </c>
      <c r="R91" s="19" t="s">
        <v>37</v>
      </c>
      <c r="S91" s="21">
        <v>79</v>
      </c>
      <c r="T91" s="21">
        <v>2.1800000000000002</v>
      </c>
      <c r="U91" s="21">
        <v>0.35</v>
      </c>
      <c r="V91" s="21">
        <f>30*79/1000</f>
        <v>2.37</v>
      </c>
      <c r="W91" s="21" t="s">
        <v>47</v>
      </c>
      <c r="X91" s="21">
        <v>200</v>
      </c>
      <c r="Y91" s="32">
        <v>41640</v>
      </c>
      <c r="Z91" s="21">
        <v>78.5</v>
      </c>
      <c r="AA91" s="21">
        <v>1.92</v>
      </c>
      <c r="AB91" s="21">
        <v>1.6</v>
      </c>
      <c r="AC91" s="21">
        <f>50*78.5/1000</f>
        <v>3.9249999999999998</v>
      </c>
      <c r="AD91" s="21" t="s">
        <v>44</v>
      </c>
      <c r="AE91" s="21">
        <f>V91/AC91</f>
        <v>0.6038216560509555</v>
      </c>
      <c r="AF91" s="21" t="s">
        <v>53</v>
      </c>
    </row>
    <row r="92" spans="1:45">
      <c r="A92" s="3">
        <v>62.1</v>
      </c>
      <c r="B92" s="3" t="s">
        <v>184</v>
      </c>
      <c r="C92" s="3" t="s">
        <v>185</v>
      </c>
      <c r="D92" s="3">
        <v>-21.194099999999999</v>
      </c>
      <c r="E92" s="3">
        <v>-159.8091</v>
      </c>
      <c r="F92" s="1" t="s">
        <v>82</v>
      </c>
      <c r="G92" s="3" t="s">
        <v>186</v>
      </c>
      <c r="H92" s="11">
        <v>41386</v>
      </c>
      <c r="I92" s="9">
        <v>0.63194444444444442</v>
      </c>
      <c r="J92" s="3">
        <v>27</v>
      </c>
      <c r="K92" s="3">
        <v>27.4</v>
      </c>
      <c r="L92" s="3">
        <v>35.700000000000003</v>
      </c>
      <c r="M92" s="3">
        <v>15</v>
      </c>
      <c r="N92" s="3" t="s">
        <v>187</v>
      </c>
      <c r="O92" s="3">
        <v>15</v>
      </c>
      <c r="P92" s="3">
        <v>6.1</v>
      </c>
      <c r="Q92" s="3">
        <v>23</v>
      </c>
      <c r="R92" s="2" t="s">
        <v>37</v>
      </c>
    </row>
    <row r="93" spans="1:45">
      <c r="A93" s="3">
        <v>62.2</v>
      </c>
      <c r="B93" s="3" t="s">
        <v>184</v>
      </c>
      <c r="C93" s="3" t="s">
        <v>185</v>
      </c>
      <c r="D93" s="3">
        <v>-21.194099999999999</v>
      </c>
      <c r="E93" s="3">
        <v>-159.8091</v>
      </c>
      <c r="F93" s="1" t="s">
        <v>82</v>
      </c>
      <c r="G93" s="3" t="s">
        <v>186</v>
      </c>
      <c r="H93" s="11">
        <v>41386</v>
      </c>
      <c r="I93" s="9">
        <v>0.63194444444444442</v>
      </c>
      <c r="J93" s="3">
        <v>27</v>
      </c>
      <c r="K93" s="3">
        <v>27.4</v>
      </c>
      <c r="L93" s="3">
        <v>35.700000000000003</v>
      </c>
      <c r="M93" s="3">
        <v>15</v>
      </c>
      <c r="N93" s="3" t="s">
        <v>187</v>
      </c>
      <c r="O93" s="3">
        <v>15</v>
      </c>
      <c r="P93" s="3">
        <v>6.1</v>
      </c>
      <c r="Q93" s="3">
        <v>23</v>
      </c>
      <c r="R93" s="2" t="s">
        <v>37</v>
      </c>
      <c r="S93" s="3">
        <v>32.5</v>
      </c>
      <c r="T93" s="3">
        <v>2.2400000000000002</v>
      </c>
      <c r="U93" s="3">
        <v>0.18</v>
      </c>
      <c r="V93" s="3">
        <f>30*32.5/1000</f>
        <v>0.97499999999999998</v>
      </c>
      <c r="W93" s="3" t="s">
        <v>47</v>
      </c>
      <c r="X93" s="3">
        <v>200</v>
      </c>
      <c r="Y93" s="7">
        <v>41609</v>
      </c>
      <c r="Z93" s="3">
        <v>166.7</v>
      </c>
      <c r="AA93" s="3">
        <v>1.96</v>
      </c>
      <c r="AB93" s="3">
        <v>0.77</v>
      </c>
      <c r="AC93" s="3">
        <f>50*166.7/1000</f>
        <v>8.3350000000000009</v>
      </c>
      <c r="AD93" s="3" t="s">
        <v>44</v>
      </c>
      <c r="AE93" s="3">
        <f>V93/AC93</f>
        <v>0.11697660467906418</v>
      </c>
      <c r="AF93" s="3" t="s">
        <v>53</v>
      </c>
    </row>
    <row r="94" spans="1:45">
      <c r="A94" s="3">
        <v>63</v>
      </c>
      <c r="B94" s="3" t="s">
        <v>184</v>
      </c>
      <c r="C94" s="3" t="s">
        <v>185</v>
      </c>
      <c r="D94" s="3">
        <v>-21.194099999999999</v>
      </c>
      <c r="E94" s="3">
        <v>-159.8091</v>
      </c>
      <c r="F94" s="2" t="s">
        <v>161</v>
      </c>
      <c r="G94" s="3" t="s">
        <v>188</v>
      </c>
      <c r="H94" s="11">
        <v>41386</v>
      </c>
      <c r="I94" s="9">
        <v>0.64236111111111105</v>
      </c>
      <c r="J94" s="3">
        <v>27</v>
      </c>
      <c r="K94" s="3">
        <v>27.4</v>
      </c>
      <c r="L94" s="3">
        <v>35.700000000000003</v>
      </c>
      <c r="M94" s="3">
        <v>15</v>
      </c>
      <c r="N94" s="3" t="s">
        <v>187</v>
      </c>
      <c r="O94" s="3">
        <v>15</v>
      </c>
      <c r="P94" s="3">
        <v>6.7</v>
      </c>
      <c r="Q94" s="3">
        <v>28.9</v>
      </c>
      <c r="R94" s="2" t="s">
        <v>37</v>
      </c>
    </row>
    <row r="95" spans="1:45">
      <c r="A95" s="3">
        <v>64.099999999999994</v>
      </c>
      <c r="B95" s="3" t="s">
        <v>184</v>
      </c>
      <c r="C95" s="3" t="s">
        <v>185</v>
      </c>
      <c r="D95" s="3">
        <v>-21.194099999999999</v>
      </c>
      <c r="E95" s="3">
        <v>-159.8091</v>
      </c>
      <c r="F95" s="1" t="s">
        <v>82</v>
      </c>
      <c r="G95" s="3" t="s">
        <v>189</v>
      </c>
      <c r="H95" s="11">
        <v>41386</v>
      </c>
      <c r="I95" s="9">
        <v>0.64930555555555558</v>
      </c>
      <c r="J95" s="3">
        <v>27</v>
      </c>
      <c r="K95" s="3">
        <v>27.4</v>
      </c>
      <c r="L95" s="3">
        <v>35.700000000000003</v>
      </c>
      <c r="M95" s="3">
        <v>16</v>
      </c>
      <c r="N95" s="3" t="s">
        <v>187</v>
      </c>
      <c r="O95" s="3">
        <v>15</v>
      </c>
      <c r="P95" s="3">
        <v>7.2</v>
      </c>
      <c r="Q95" s="3">
        <v>29.9</v>
      </c>
      <c r="R95" s="2" t="s">
        <v>37</v>
      </c>
    </row>
    <row r="96" spans="1:45">
      <c r="A96" s="3">
        <v>64.2</v>
      </c>
      <c r="B96" s="3" t="s">
        <v>184</v>
      </c>
      <c r="C96" s="3" t="s">
        <v>185</v>
      </c>
      <c r="D96" s="3">
        <v>-21.194099999999999</v>
      </c>
      <c r="E96" s="3">
        <v>-159.8091</v>
      </c>
      <c r="F96" s="1" t="s">
        <v>82</v>
      </c>
      <c r="G96" s="3" t="s">
        <v>189</v>
      </c>
      <c r="H96" s="11">
        <v>41386</v>
      </c>
      <c r="I96" s="9">
        <v>0.64930555555555558</v>
      </c>
      <c r="J96" s="3">
        <v>27</v>
      </c>
      <c r="K96" s="3">
        <v>27.4</v>
      </c>
      <c r="L96" s="3">
        <v>35.700000000000003</v>
      </c>
      <c r="M96" s="3">
        <v>16</v>
      </c>
      <c r="N96" s="3" t="s">
        <v>187</v>
      </c>
      <c r="O96" s="3">
        <v>15</v>
      </c>
      <c r="P96" s="3">
        <v>7.2</v>
      </c>
      <c r="Q96" s="3">
        <v>29.9</v>
      </c>
      <c r="R96" s="2" t="s">
        <v>37</v>
      </c>
      <c r="S96" s="3">
        <v>46.6</v>
      </c>
      <c r="T96" s="3">
        <v>2.16</v>
      </c>
      <c r="U96" s="3">
        <v>1.04</v>
      </c>
      <c r="V96" s="3">
        <f>46.6*30/1000</f>
        <v>1.3979999999999999</v>
      </c>
      <c r="W96" s="3" t="s">
        <v>47</v>
      </c>
      <c r="X96" s="3">
        <v>200</v>
      </c>
      <c r="Y96" s="7">
        <v>41640</v>
      </c>
      <c r="Z96" s="3">
        <v>6.1</v>
      </c>
      <c r="AA96" s="3">
        <v>1.51</v>
      </c>
      <c r="AB96" s="3">
        <v>1.53</v>
      </c>
      <c r="AC96" s="3">
        <f>6.1*50/1000</f>
        <v>0.30499999999999999</v>
      </c>
      <c r="AD96" s="3" t="s">
        <v>64</v>
      </c>
      <c r="AE96" s="3">
        <f>V96/AC96</f>
        <v>4.583606557377049</v>
      </c>
      <c r="AF96" s="3" t="s">
        <v>53</v>
      </c>
    </row>
    <row r="97" spans="1:32">
      <c r="A97" s="3">
        <v>65.099999999999994</v>
      </c>
      <c r="B97" s="3" t="s">
        <v>184</v>
      </c>
      <c r="C97" s="3" t="s">
        <v>190</v>
      </c>
      <c r="D97" s="3" t="s">
        <v>72</v>
      </c>
      <c r="F97" s="1" t="s">
        <v>129</v>
      </c>
      <c r="G97" s="3" t="s">
        <v>181</v>
      </c>
      <c r="H97" s="11">
        <v>41387</v>
      </c>
      <c r="I97" s="9">
        <v>0.375</v>
      </c>
      <c r="J97" s="3">
        <v>26</v>
      </c>
      <c r="K97" s="3" t="s">
        <v>191</v>
      </c>
      <c r="L97" s="3" t="s">
        <v>191</v>
      </c>
      <c r="M97" s="3">
        <v>18.5</v>
      </c>
      <c r="N97" s="3" t="s">
        <v>192</v>
      </c>
      <c r="O97" s="20">
        <v>8</v>
      </c>
      <c r="P97" s="3">
        <v>7.3</v>
      </c>
      <c r="Q97" s="3">
        <v>28.8</v>
      </c>
      <c r="R97" s="2" t="s">
        <v>37</v>
      </c>
    </row>
    <row r="98" spans="1:32">
      <c r="A98" s="3">
        <v>65.2</v>
      </c>
      <c r="B98" s="3" t="s">
        <v>184</v>
      </c>
      <c r="C98" s="3" t="s">
        <v>190</v>
      </c>
      <c r="D98" s="3" t="s">
        <v>72</v>
      </c>
      <c r="F98" s="1" t="s">
        <v>129</v>
      </c>
      <c r="G98" s="3" t="s">
        <v>181</v>
      </c>
      <c r="H98" s="11">
        <v>41387</v>
      </c>
      <c r="I98" s="9">
        <v>0.375</v>
      </c>
      <c r="J98" s="3">
        <v>26</v>
      </c>
      <c r="K98" s="3" t="s">
        <v>191</v>
      </c>
      <c r="L98" s="3" t="s">
        <v>191</v>
      </c>
      <c r="M98" s="3">
        <v>18.5</v>
      </c>
      <c r="N98" s="3" t="s">
        <v>192</v>
      </c>
      <c r="O98" s="20">
        <v>8</v>
      </c>
      <c r="P98" s="3">
        <v>7.3</v>
      </c>
      <c r="Q98" s="3">
        <v>28.8</v>
      </c>
      <c r="R98" s="2" t="s">
        <v>37</v>
      </c>
      <c r="S98" s="3">
        <v>45.3</v>
      </c>
      <c r="T98" s="3">
        <v>2.15</v>
      </c>
      <c r="U98" s="3">
        <v>0.96</v>
      </c>
      <c r="V98" s="3">
        <f>45.3*30/1000</f>
        <v>1.359</v>
      </c>
      <c r="W98" s="3" t="s">
        <v>47</v>
      </c>
      <c r="X98" s="3">
        <v>200</v>
      </c>
      <c r="Y98" s="7">
        <v>41640</v>
      </c>
      <c r="Z98" s="3">
        <v>91.2</v>
      </c>
      <c r="AA98" s="3">
        <v>1.87</v>
      </c>
      <c r="AB98" s="3">
        <v>0.73</v>
      </c>
      <c r="AC98" s="3">
        <f>91.2*50/1000</f>
        <v>4.5599999999999996</v>
      </c>
      <c r="AD98" s="3" t="s">
        <v>44</v>
      </c>
      <c r="AE98" s="3">
        <f>V98/AC98</f>
        <v>0.29802631578947369</v>
      </c>
      <c r="AF98" s="3" t="s">
        <v>53</v>
      </c>
    </row>
    <row r="99" spans="1:32">
      <c r="A99" s="3">
        <v>66.099999999999994</v>
      </c>
      <c r="B99" s="3" t="s">
        <v>184</v>
      </c>
      <c r="C99" s="3" t="s">
        <v>190</v>
      </c>
      <c r="D99" s="3">
        <v>-21.251300000000001</v>
      </c>
      <c r="E99" s="3">
        <v>-159.82900000000001</v>
      </c>
      <c r="F99" s="1" t="s">
        <v>129</v>
      </c>
      <c r="H99" s="11">
        <v>41387</v>
      </c>
      <c r="I99" s="9">
        <v>0.38541666666666669</v>
      </c>
      <c r="J99" s="3">
        <v>26</v>
      </c>
      <c r="K99" s="3" t="s">
        <v>191</v>
      </c>
      <c r="L99" s="3" t="s">
        <v>191</v>
      </c>
      <c r="M99" s="3">
        <v>18.5</v>
      </c>
      <c r="N99" s="3" t="s">
        <v>192</v>
      </c>
      <c r="O99" s="20">
        <v>6</v>
      </c>
      <c r="P99" s="3">
        <v>5.7</v>
      </c>
      <c r="Q99" s="3">
        <v>15.4</v>
      </c>
      <c r="R99" s="2" t="s">
        <v>37</v>
      </c>
    </row>
    <row r="100" spans="1:32">
      <c r="A100" s="3">
        <v>66.2</v>
      </c>
      <c r="B100" s="3" t="s">
        <v>184</v>
      </c>
      <c r="C100" s="3" t="s">
        <v>190</v>
      </c>
      <c r="D100" s="3">
        <v>-21.251300000000001</v>
      </c>
      <c r="E100" s="3">
        <v>-159.82900000000001</v>
      </c>
      <c r="F100" s="1" t="s">
        <v>129</v>
      </c>
      <c r="H100" s="11">
        <v>41387</v>
      </c>
      <c r="I100" s="9">
        <v>0.38541666666666669</v>
      </c>
      <c r="J100" s="3">
        <v>26</v>
      </c>
      <c r="K100" s="3" t="s">
        <v>191</v>
      </c>
      <c r="L100" s="3" t="s">
        <v>191</v>
      </c>
      <c r="M100" s="3">
        <v>18.5</v>
      </c>
      <c r="N100" s="3" t="s">
        <v>192</v>
      </c>
      <c r="O100" s="20">
        <v>6</v>
      </c>
      <c r="P100" s="3">
        <v>5.7</v>
      </c>
      <c r="Q100" s="3">
        <v>15.4</v>
      </c>
      <c r="R100" s="2" t="s">
        <v>37</v>
      </c>
      <c r="S100" s="3">
        <v>23</v>
      </c>
      <c r="T100" s="3">
        <v>2.25</v>
      </c>
      <c r="U100" s="3">
        <v>0.13</v>
      </c>
      <c r="V100" s="3">
        <f>23*30/1000</f>
        <v>0.69</v>
      </c>
      <c r="W100" s="3" t="s">
        <v>60</v>
      </c>
      <c r="X100" s="3">
        <v>200</v>
      </c>
      <c r="Y100" s="7">
        <v>41609</v>
      </c>
      <c r="Z100" s="3">
        <v>122.4</v>
      </c>
      <c r="AA100" s="3">
        <v>1.95</v>
      </c>
      <c r="AB100" s="3">
        <v>1.17</v>
      </c>
      <c r="AC100" s="3">
        <f>122.4*50/1000</f>
        <v>6.12</v>
      </c>
      <c r="AD100" s="3" t="s">
        <v>44</v>
      </c>
      <c r="AE100" s="3">
        <f>V100/AC100</f>
        <v>0.11274509803921567</v>
      </c>
      <c r="AF100" s="3" t="s">
        <v>53</v>
      </c>
    </row>
    <row r="101" spans="1:32">
      <c r="A101" s="3">
        <v>67</v>
      </c>
      <c r="B101" s="3" t="s">
        <v>184</v>
      </c>
      <c r="C101" s="3" t="s">
        <v>194</v>
      </c>
      <c r="D101" s="3">
        <v>-21.2136</v>
      </c>
      <c r="E101" s="3">
        <v>-159.8331</v>
      </c>
      <c r="F101" s="2" t="s">
        <v>161</v>
      </c>
      <c r="G101" s="3" t="s">
        <v>195</v>
      </c>
      <c r="H101" s="11">
        <v>41387</v>
      </c>
      <c r="I101" s="9">
        <v>0.44791666666666669</v>
      </c>
      <c r="J101" s="3">
        <v>26</v>
      </c>
      <c r="K101" s="3" t="s">
        <v>191</v>
      </c>
      <c r="L101" s="3" t="s">
        <v>191</v>
      </c>
      <c r="M101" s="3">
        <v>20</v>
      </c>
      <c r="N101" s="3" t="s">
        <v>192</v>
      </c>
      <c r="O101" s="20">
        <v>7</v>
      </c>
      <c r="P101" s="3">
        <v>9.9</v>
      </c>
      <c r="Q101" s="3">
        <v>57.6</v>
      </c>
      <c r="R101" s="2" t="s">
        <v>37</v>
      </c>
    </row>
    <row r="102" spans="1:32">
      <c r="A102" s="3">
        <v>68.099999999999994</v>
      </c>
      <c r="B102" s="3" t="s">
        <v>184</v>
      </c>
      <c r="C102" s="3" t="s">
        <v>194</v>
      </c>
      <c r="D102" s="3">
        <v>-21.2136</v>
      </c>
      <c r="E102" s="3">
        <v>-159.8331</v>
      </c>
      <c r="F102" s="1" t="s">
        <v>82</v>
      </c>
      <c r="G102" s="3" t="s">
        <v>196</v>
      </c>
      <c r="H102" s="11">
        <v>41387</v>
      </c>
      <c r="I102" s="9">
        <v>0.4548611111111111</v>
      </c>
      <c r="J102" s="3">
        <v>26</v>
      </c>
      <c r="K102" s="3" t="s">
        <v>191</v>
      </c>
      <c r="L102" s="3" t="s">
        <v>191</v>
      </c>
      <c r="M102" s="3">
        <v>20</v>
      </c>
      <c r="N102" s="3" t="s">
        <v>192</v>
      </c>
      <c r="O102" s="20">
        <v>12</v>
      </c>
      <c r="P102" s="3">
        <v>12.6</v>
      </c>
      <c r="Q102" s="3">
        <v>36.200000000000003</v>
      </c>
      <c r="R102" s="2" t="s">
        <v>37</v>
      </c>
    </row>
    <row r="103" spans="1:32">
      <c r="A103" s="3">
        <v>68.2</v>
      </c>
      <c r="B103" s="3" t="s">
        <v>184</v>
      </c>
      <c r="C103" s="3" t="s">
        <v>194</v>
      </c>
      <c r="D103" s="3">
        <v>-21.2136</v>
      </c>
      <c r="E103" s="3">
        <v>-159.8331</v>
      </c>
      <c r="F103" s="2" t="s">
        <v>198</v>
      </c>
      <c r="G103" s="3" t="s">
        <v>196</v>
      </c>
      <c r="H103" s="11">
        <v>41387</v>
      </c>
      <c r="I103" s="9">
        <v>0.4548611111111111</v>
      </c>
      <c r="J103" s="3">
        <v>26</v>
      </c>
      <c r="K103" s="3" t="s">
        <v>191</v>
      </c>
      <c r="L103" s="3" t="s">
        <v>191</v>
      </c>
      <c r="M103" s="3">
        <v>20</v>
      </c>
      <c r="N103" s="3" t="s">
        <v>192</v>
      </c>
      <c r="O103" s="20">
        <v>12</v>
      </c>
      <c r="P103" s="3">
        <v>12.6</v>
      </c>
      <c r="Q103" s="3">
        <v>36.200000000000003</v>
      </c>
      <c r="R103" s="2" t="s">
        <v>37</v>
      </c>
      <c r="Y103" s="7">
        <v>41640</v>
      </c>
      <c r="Z103" s="3">
        <v>31.8</v>
      </c>
      <c r="AA103" s="3">
        <v>1.67</v>
      </c>
      <c r="AB103" s="3">
        <v>0.06</v>
      </c>
      <c r="AC103" s="3">
        <f>31.8*50/1000</f>
        <v>1.59</v>
      </c>
      <c r="AD103" s="3" t="s">
        <v>44</v>
      </c>
      <c r="AF103" s="3" t="s">
        <v>53</v>
      </c>
    </row>
    <row r="104" spans="1:32">
      <c r="A104" s="3">
        <v>69</v>
      </c>
      <c r="B104" s="3" t="s">
        <v>184</v>
      </c>
      <c r="C104" s="3" t="s">
        <v>194</v>
      </c>
      <c r="D104" s="3">
        <v>-21.2136</v>
      </c>
      <c r="E104" s="3">
        <v>-159.8331</v>
      </c>
      <c r="F104" s="2" t="s">
        <v>161</v>
      </c>
      <c r="G104" s="3" t="s">
        <v>199</v>
      </c>
      <c r="H104" s="11">
        <v>41387</v>
      </c>
      <c r="I104" s="9">
        <v>0.46180555555555558</v>
      </c>
      <c r="J104" s="3">
        <v>26</v>
      </c>
      <c r="K104" s="3" t="s">
        <v>191</v>
      </c>
      <c r="L104" s="3" t="s">
        <v>191</v>
      </c>
      <c r="M104" s="3">
        <v>15</v>
      </c>
      <c r="N104" s="3" t="s">
        <v>192</v>
      </c>
      <c r="O104" s="20">
        <v>8</v>
      </c>
      <c r="P104" s="3">
        <v>11.7</v>
      </c>
      <c r="Q104" s="3">
        <v>85</v>
      </c>
      <c r="R104" s="2" t="s">
        <v>37</v>
      </c>
    </row>
    <row r="105" spans="1:32">
      <c r="A105" s="3">
        <v>70</v>
      </c>
      <c r="B105" s="3" t="s">
        <v>184</v>
      </c>
      <c r="C105" s="3" t="s">
        <v>194</v>
      </c>
      <c r="D105" s="3">
        <v>-21.2136</v>
      </c>
      <c r="E105" s="3">
        <v>-159.8331</v>
      </c>
      <c r="F105" s="2" t="s">
        <v>161</v>
      </c>
      <c r="G105" s="3" t="s">
        <v>199</v>
      </c>
      <c r="H105" s="11">
        <v>41387</v>
      </c>
      <c r="I105" s="9">
        <v>0.46875</v>
      </c>
      <c r="J105" s="3">
        <v>27</v>
      </c>
      <c r="K105" s="3" t="s">
        <v>191</v>
      </c>
      <c r="L105" s="3" t="s">
        <v>191</v>
      </c>
      <c r="M105" s="3">
        <v>14</v>
      </c>
      <c r="N105" s="3" t="s">
        <v>192</v>
      </c>
      <c r="O105" s="20">
        <v>7</v>
      </c>
      <c r="P105" s="3">
        <v>11.1</v>
      </c>
      <c r="Q105" s="3">
        <v>68.900000000000006</v>
      </c>
      <c r="R105" s="2" t="s">
        <v>37</v>
      </c>
    </row>
    <row r="106" spans="1:32">
      <c r="A106" s="3">
        <v>71.099999999999994</v>
      </c>
      <c r="B106" s="3" t="s">
        <v>184</v>
      </c>
      <c r="C106" s="3" t="s">
        <v>185</v>
      </c>
      <c r="D106" s="3">
        <v>-21.194099999999999</v>
      </c>
      <c r="E106" s="3">
        <v>-159.8091</v>
      </c>
      <c r="F106" s="1" t="s">
        <v>129</v>
      </c>
      <c r="G106" s="3" t="s">
        <v>200</v>
      </c>
      <c r="H106" s="11">
        <v>41387</v>
      </c>
      <c r="I106" s="9">
        <v>0.61111111111111105</v>
      </c>
      <c r="J106" s="3">
        <v>26</v>
      </c>
      <c r="K106" s="3">
        <v>27.4</v>
      </c>
      <c r="L106" s="3">
        <v>35.700000000000003</v>
      </c>
      <c r="M106" s="3">
        <v>16</v>
      </c>
      <c r="N106" s="3" t="s">
        <v>201</v>
      </c>
      <c r="O106" s="20">
        <v>10</v>
      </c>
      <c r="P106" s="3">
        <v>7.4</v>
      </c>
      <c r="Q106" s="3">
        <v>27.1</v>
      </c>
      <c r="R106" s="2" t="s">
        <v>37</v>
      </c>
      <c r="S106" s="3">
        <v>23.4</v>
      </c>
      <c r="T106" s="3">
        <v>2.2599999999999998</v>
      </c>
      <c r="U106" s="3">
        <v>0.5</v>
      </c>
      <c r="V106" s="3">
        <f>23.4*30/1000</f>
        <v>0.70199999999999996</v>
      </c>
      <c r="W106" s="3" t="s">
        <v>60</v>
      </c>
      <c r="X106" s="3">
        <v>200</v>
      </c>
      <c r="Y106" s="7">
        <v>41609</v>
      </c>
      <c r="Z106" s="3">
        <v>70</v>
      </c>
      <c r="AA106" s="3">
        <v>1.98</v>
      </c>
      <c r="AB106" s="3">
        <v>0.25</v>
      </c>
      <c r="AC106" s="3">
        <f>70*50/1000</f>
        <v>3.5</v>
      </c>
      <c r="AD106" s="3" t="s">
        <v>44</v>
      </c>
      <c r="AE106" s="3">
        <f>V106/AC106</f>
        <v>0.20057142857142857</v>
      </c>
      <c r="AF106" s="3" t="s">
        <v>53</v>
      </c>
    </row>
    <row r="107" spans="1:32">
      <c r="A107" s="3">
        <v>72.099999999999994</v>
      </c>
      <c r="B107" s="3" t="s">
        <v>184</v>
      </c>
      <c r="C107" s="3" t="s">
        <v>185</v>
      </c>
      <c r="D107" s="3">
        <v>-21.194099999999999</v>
      </c>
      <c r="E107" s="3">
        <v>-159.8091</v>
      </c>
      <c r="F107" s="1" t="s">
        <v>129</v>
      </c>
      <c r="G107" s="3" t="s">
        <v>202</v>
      </c>
      <c r="H107" s="11">
        <v>41387</v>
      </c>
      <c r="I107" s="9">
        <v>0.62291666666666667</v>
      </c>
      <c r="J107" s="3">
        <v>26</v>
      </c>
      <c r="K107" s="3">
        <v>27.4</v>
      </c>
      <c r="L107" s="3">
        <v>35.700000000000003</v>
      </c>
      <c r="M107" s="3">
        <v>16</v>
      </c>
      <c r="N107" s="3" t="s">
        <v>201</v>
      </c>
      <c r="O107" s="20">
        <v>15</v>
      </c>
      <c r="P107" s="3">
        <v>5.5</v>
      </c>
      <c r="Q107" s="3">
        <v>18.2</v>
      </c>
      <c r="R107" s="2" t="s">
        <v>37</v>
      </c>
    </row>
    <row r="108" spans="1:32">
      <c r="A108" s="3">
        <v>72.2</v>
      </c>
      <c r="B108" s="3" t="s">
        <v>184</v>
      </c>
      <c r="C108" s="3" t="s">
        <v>185</v>
      </c>
      <c r="D108" s="3">
        <v>-21.194099999999999</v>
      </c>
      <c r="E108" s="3">
        <v>-159.8091</v>
      </c>
      <c r="F108" s="1" t="s">
        <v>129</v>
      </c>
      <c r="G108" s="3" t="s">
        <v>202</v>
      </c>
      <c r="H108" s="11">
        <v>41387</v>
      </c>
      <c r="I108" s="9">
        <v>0.62291666666666667</v>
      </c>
      <c r="J108" s="3">
        <v>26</v>
      </c>
      <c r="K108" s="3">
        <v>27.4</v>
      </c>
      <c r="L108" s="3">
        <v>35.700000000000003</v>
      </c>
      <c r="M108" s="3">
        <v>16</v>
      </c>
      <c r="N108" s="3" t="s">
        <v>201</v>
      </c>
      <c r="O108" s="20">
        <v>15</v>
      </c>
      <c r="P108" s="3">
        <v>5.5</v>
      </c>
      <c r="Q108" s="3">
        <v>18.2</v>
      </c>
      <c r="R108" s="2" t="s">
        <v>37</v>
      </c>
      <c r="S108" s="3">
        <v>36.4</v>
      </c>
      <c r="T108" s="3">
        <v>2.19</v>
      </c>
      <c r="U108" s="3">
        <v>0.62</v>
      </c>
      <c r="V108" s="3">
        <f>36.4*30/1000</f>
        <v>1.0920000000000001</v>
      </c>
      <c r="W108" s="3" t="s">
        <v>47</v>
      </c>
      <c r="X108" s="3">
        <v>200</v>
      </c>
      <c r="Y108" s="7">
        <v>41640</v>
      </c>
      <c r="Z108" s="3">
        <v>98.9</v>
      </c>
      <c r="AA108" s="3">
        <v>1.64</v>
      </c>
      <c r="AB108" s="3">
        <v>0.67</v>
      </c>
      <c r="AC108" s="3">
        <f>98.9*50/1000</f>
        <v>4.9450000000000003</v>
      </c>
      <c r="AD108" s="3" t="s">
        <v>44</v>
      </c>
      <c r="AE108" s="3">
        <f>V108/AC108</f>
        <v>0.22082912032355914</v>
      </c>
      <c r="AF108" s="3" t="s">
        <v>53</v>
      </c>
    </row>
    <row r="109" spans="1:32">
      <c r="A109" s="3">
        <v>73.099999999999994</v>
      </c>
      <c r="B109" s="3" t="s">
        <v>184</v>
      </c>
      <c r="C109" s="3" t="s">
        <v>203</v>
      </c>
      <c r="D109" s="3" t="s">
        <v>72</v>
      </c>
      <c r="F109" s="1" t="s">
        <v>82</v>
      </c>
      <c r="G109" s="3" t="s">
        <v>204</v>
      </c>
      <c r="H109" s="11">
        <v>41388</v>
      </c>
      <c r="I109" s="9">
        <v>0.38194444444444442</v>
      </c>
      <c r="J109" s="3">
        <v>26</v>
      </c>
      <c r="K109" s="3">
        <v>27.4</v>
      </c>
      <c r="L109" s="3">
        <v>35.5</v>
      </c>
      <c r="M109" s="3">
        <v>14</v>
      </c>
      <c r="N109" s="3" t="s">
        <v>205</v>
      </c>
      <c r="O109" s="20">
        <v>20</v>
      </c>
      <c r="P109" s="3">
        <v>9.3000000000000007</v>
      </c>
      <c r="Q109" s="3">
        <v>44.2</v>
      </c>
      <c r="R109" s="2" t="s">
        <v>37</v>
      </c>
    </row>
    <row r="110" spans="1:32">
      <c r="A110" s="3">
        <v>73.2</v>
      </c>
      <c r="B110" s="3" t="s">
        <v>184</v>
      </c>
      <c r="C110" s="3" t="s">
        <v>203</v>
      </c>
      <c r="D110" s="3" t="s">
        <v>72</v>
      </c>
      <c r="F110" s="1" t="s">
        <v>82</v>
      </c>
      <c r="G110" s="3" t="s">
        <v>204</v>
      </c>
      <c r="H110" s="11">
        <v>41388</v>
      </c>
      <c r="I110" s="9">
        <v>0.38194444444444442</v>
      </c>
      <c r="J110" s="3">
        <v>26</v>
      </c>
      <c r="K110" s="3">
        <v>27.4</v>
      </c>
      <c r="L110" s="3">
        <v>35.5</v>
      </c>
      <c r="M110" s="3">
        <v>14</v>
      </c>
      <c r="N110" s="3" t="s">
        <v>205</v>
      </c>
      <c r="O110" s="20">
        <v>20</v>
      </c>
      <c r="P110" s="3">
        <v>9.3000000000000007</v>
      </c>
      <c r="Q110" s="3">
        <v>44.2</v>
      </c>
      <c r="R110" s="2" t="s">
        <v>37</v>
      </c>
      <c r="S110" s="3">
        <v>91.4</v>
      </c>
      <c r="T110" s="3">
        <v>2.2000000000000002</v>
      </c>
      <c r="U110" s="3">
        <v>1.65</v>
      </c>
      <c r="V110" s="3">
        <f>30*91.4/1000</f>
        <v>2.742</v>
      </c>
      <c r="W110" s="3" t="s">
        <v>47</v>
      </c>
      <c r="X110" s="3">
        <v>200</v>
      </c>
      <c r="Y110" s="7">
        <v>41640</v>
      </c>
      <c r="Z110" s="3">
        <v>130.1</v>
      </c>
      <c r="AA110" s="3">
        <v>1.94</v>
      </c>
      <c r="AB110" s="3">
        <v>1.55</v>
      </c>
      <c r="AC110" s="3">
        <f>130.1*50/1000</f>
        <v>6.5049999999999999</v>
      </c>
      <c r="AD110" s="3" t="s">
        <v>44</v>
      </c>
      <c r="AE110" s="3">
        <f>V110/AC110</f>
        <v>0.42152190622598001</v>
      </c>
      <c r="AF110" s="3" t="s">
        <v>53</v>
      </c>
    </row>
    <row r="111" spans="1:32">
      <c r="A111" s="3">
        <v>74</v>
      </c>
      <c r="B111" s="3" t="s">
        <v>184</v>
      </c>
      <c r="C111" s="3" t="s">
        <v>203</v>
      </c>
      <c r="D111" s="3">
        <v>-21.241700000000002</v>
      </c>
      <c r="E111" s="3">
        <v>-159.7225</v>
      </c>
      <c r="F111" s="2" t="s">
        <v>161</v>
      </c>
      <c r="G111" s="3" t="s">
        <v>206</v>
      </c>
      <c r="H111" s="11">
        <v>41388</v>
      </c>
      <c r="I111" s="9">
        <v>0.3888888888888889</v>
      </c>
      <c r="J111" s="3">
        <v>26</v>
      </c>
      <c r="K111" s="3">
        <v>27.4</v>
      </c>
      <c r="L111" s="3">
        <v>35.5</v>
      </c>
      <c r="M111" s="3">
        <v>15</v>
      </c>
      <c r="N111" s="3" t="s">
        <v>207</v>
      </c>
      <c r="O111" s="20">
        <v>20</v>
      </c>
      <c r="P111" s="3">
        <v>9.6</v>
      </c>
      <c r="Q111" s="3">
        <v>50.8</v>
      </c>
      <c r="R111" s="2" t="s">
        <v>37</v>
      </c>
    </row>
    <row r="112" spans="1:32">
      <c r="A112" s="3">
        <v>75</v>
      </c>
      <c r="B112" s="3" t="s">
        <v>184</v>
      </c>
      <c r="C112" s="3" t="s">
        <v>203</v>
      </c>
      <c r="D112" s="3">
        <v>-21.241700000000002</v>
      </c>
      <c r="E112" s="3">
        <v>-159.7225</v>
      </c>
      <c r="F112" s="2" t="s">
        <v>161</v>
      </c>
      <c r="G112" s="3" t="s">
        <v>208</v>
      </c>
      <c r="H112" s="11">
        <v>41388</v>
      </c>
      <c r="I112" s="9">
        <v>0.3923611111111111</v>
      </c>
      <c r="J112" s="3">
        <v>26</v>
      </c>
      <c r="K112" s="3">
        <v>27.4</v>
      </c>
      <c r="L112" s="3">
        <v>35.5</v>
      </c>
      <c r="M112" s="3">
        <v>14</v>
      </c>
      <c r="N112" s="3" t="s">
        <v>207</v>
      </c>
      <c r="O112" s="20">
        <v>20</v>
      </c>
      <c r="P112" s="3">
        <v>5.9</v>
      </c>
      <c r="Q112" s="3">
        <v>21.7</v>
      </c>
      <c r="R112" s="2" t="s">
        <v>37</v>
      </c>
    </row>
    <row r="113" spans="1:32">
      <c r="A113" s="3">
        <v>76.099999999999994</v>
      </c>
      <c r="B113" s="3" t="s">
        <v>184</v>
      </c>
      <c r="C113" s="3" t="s">
        <v>209</v>
      </c>
      <c r="D113" s="3">
        <v>-21.2136</v>
      </c>
      <c r="E113" s="3">
        <v>-159.733</v>
      </c>
      <c r="F113" s="1" t="s">
        <v>82</v>
      </c>
      <c r="G113" s="3" t="s">
        <v>210</v>
      </c>
      <c r="H113" s="11">
        <v>41388</v>
      </c>
      <c r="I113" s="9">
        <v>0.46527777777777773</v>
      </c>
      <c r="J113" s="3">
        <v>26</v>
      </c>
      <c r="K113" s="3">
        <v>27.4</v>
      </c>
      <c r="L113" s="3">
        <v>35.700000000000003</v>
      </c>
      <c r="M113" s="3">
        <v>14.5</v>
      </c>
      <c r="N113" s="3" t="s">
        <v>207</v>
      </c>
      <c r="O113" s="20">
        <v>30</v>
      </c>
      <c r="P113" s="3">
        <v>7.6</v>
      </c>
      <c r="Q113" s="3">
        <v>31</v>
      </c>
      <c r="R113" s="2" t="s">
        <v>37</v>
      </c>
      <c r="S113" s="3" t="s">
        <v>211</v>
      </c>
      <c r="Y113" s="7">
        <v>41609</v>
      </c>
      <c r="Z113" s="3">
        <v>69.7</v>
      </c>
      <c r="AA113" s="3">
        <v>1.94</v>
      </c>
      <c r="AB113" s="3">
        <v>0.25</v>
      </c>
      <c r="AC113" s="3">
        <f>69.7*50/1000</f>
        <v>3.4849999999999999</v>
      </c>
      <c r="AD113" s="3" t="s">
        <v>44</v>
      </c>
      <c r="AF113" s="3" t="s">
        <v>53</v>
      </c>
    </row>
    <row r="114" spans="1:32">
      <c r="A114" s="3">
        <v>77.099999999999994</v>
      </c>
      <c r="B114" s="3" t="s">
        <v>184</v>
      </c>
      <c r="C114" s="3" t="s">
        <v>209</v>
      </c>
      <c r="D114" s="3">
        <v>-21.2136</v>
      </c>
      <c r="E114" s="3">
        <v>-159.733</v>
      </c>
      <c r="F114" s="2" t="s">
        <v>161</v>
      </c>
      <c r="G114" s="3" t="s">
        <v>212</v>
      </c>
      <c r="H114" s="11">
        <v>41388</v>
      </c>
      <c r="I114" s="9">
        <v>0.47222222222222227</v>
      </c>
      <c r="J114" s="3">
        <v>26</v>
      </c>
      <c r="K114" s="3">
        <v>27.4</v>
      </c>
      <c r="L114" s="3">
        <v>35.700000000000003</v>
      </c>
      <c r="M114" s="3">
        <v>15</v>
      </c>
      <c r="N114" s="3" t="s">
        <v>207</v>
      </c>
      <c r="O114" s="20">
        <v>30</v>
      </c>
      <c r="P114" s="3">
        <v>7.7</v>
      </c>
      <c r="Q114" s="3">
        <v>39.4</v>
      </c>
      <c r="R114" s="2" t="s">
        <v>37</v>
      </c>
    </row>
    <row r="115" spans="1:32">
      <c r="A115" s="3">
        <v>77.2</v>
      </c>
      <c r="B115" s="3" t="s">
        <v>184</v>
      </c>
      <c r="C115" s="3" t="s">
        <v>209</v>
      </c>
      <c r="D115" s="3">
        <v>-21.2136</v>
      </c>
      <c r="E115" s="3">
        <v>-159.733</v>
      </c>
      <c r="F115" s="2" t="s">
        <v>161</v>
      </c>
      <c r="G115" s="3" t="s">
        <v>212</v>
      </c>
      <c r="H115" s="11">
        <v>41388</v>
      </c>
      <c r="I115" s="9">
        <v>0.47222222222222227</v>
      </c>
      <c r="J115" s="3">
        <v>26</v>
      </c>
      <c r="K115" s="3">
        <v>27.4</v>
      </c>
      <c r="L115" s="3">
        <v>35.700000000000003</v>
      </c>
      <c r="M115" s="3">
        <v>15</v>
      </c>
      <c r="N115" s="3" t="s">
        <v>207</v>
      </c>
      <c r="O115" s="20">
        <v>30</v>
      </c>
      <c r="P115" s="3">
        <v>7.7</v>
      </c>
      <c r="Q115" s="3">
        <v>39.4</v>
      </c>
      <c r="R115" s="2" t="s">
        <v>37</v>
      </c>
    </row>
    <row r="116" spans="1:32">
      <c r="A116" s="3">
        <v>78.099999999999994</v>
      </c>
      <c r="B116" s="3" t="s">
        <v>184</v>
      </c>
      <c r="C116" s="3" t="s">
        <v>209</v>
      </c>
      <c r="D116" s="3">
        <v>-21.2136</v>
      </c>
      <c r="E116" s="3">
        <v>-159.733</v>
      </c>
      <c r="F116" s="1" t="s">
        <v>82</v>
      </c>
      <c r="G116" s="3" t="s">
        <v>213</v>
      </c>
      <c r="H116" s="11">
        <v>41388</v>
      </c>
      <c r="I116" s="9">
        <v>0.47569444444444442</v>
      </c>
      <c r="J116" s="3">
        <v>26</v>
      </c>
      <c r="K116" s="3">
        <v>27.4</v>
      </c>
      <c r="L116" s="3">
        <v>35.700000000000003</v>
      </c>
      <c r="M116" s="3">
        <v>15.5</v>
      </c>
      <c r="N116" s="3" t="s">
        <v>207</v>
      </c>
      <c r="O116" s="20">
        <v>30</v>
      </c>
      <c r="P116" s="3">
        <v>6.3</v>
      </c>
      <c r="Q116" s="3">
        <v>25.8</v>
      </c>
      <c r="R116" s="2" t="s">
        <v>37</v>
      </c>
    </row>
    <row r="117" spans="1:32">
      <c r="A117" s="3">
        <v>78.2</v>
      </c>
      <c r="B117" s="3" t="s">
        <v>184</v>
      </c>
      <c r="C117" s="3" t="s">
        <v>209</v>
      </c>
      <c r="D117" s="3">
        <v>-21.2136</v>
      </c>
      <c r="E117" s="3">
        <v>-159.733</v>
      </c>
      <c r="F117" s="1" t="s">
        <v>82</v>
      </c>
      <c r="G117" s="3" t="s">
        <v>213</v>
      </c>
      <c r="H117" s="11">
        <v>41388</v>
      </c>
      <c r="I117" s="9">
        <v>0.47569444444444442</v>
      </c>
      <c r="J117" s="3">
        <v>26</v>
      </c>
      <c r="K117" s="3">
        <v>27.4</v>
      </c>
      <c r="L117" s="3">
        <v>35.700000000000003</v>
      </c>
      <c r="M117" s="3">
        <v>15.5</v>
      </c>
      <c r="N117" s="3" t="s">
        <v>207</v>
      </c>
      <c r="O117" s="20">
        <v>30</v>
      </c>
      <c r="P117" s="3">
        <v>6.3</v>
      </c>
      <c r="Q117" s="3">
        <v>25.8</v>
      </c>
      <c r="R117" s="2" t="s">
        <v>37</v>
      </c>
      <c r="S117" s="3">
        <v>61.6</v>
      </c>
      <c r="T117" s="3">
        <v>2.2200000000000002</v>
      </c>
      <c r="U117" s="3">
        <v>1.92</v>
      </c>
      <c r="V117" s="3">
        <f>30*S117/1000</f>
        <v>1.8480000000000001</v>
      </c>
      <c r="W117" s="3" t="s">
        <v>47</v>
      </c>
      <c r="X117" s="3">
        <v>200</v>
      </c>
      <c r="Y117" s="7">
        <v>41609</v>
      </c>
      <c r="Z117" s="3">
        <v>83</v>
      </c>
      <c r="AA117" s="3">
        <v>1.97</v>
      </c>
      <c r="AB117" s="3">
        <v>0.35</v>
      </c>
      <c r="AC117" s="3">
        <f>83*50/1000</f>
        <v>4.1500000000000004</v>
      </c>
      <c r="AD117" s="3" t="s">
        <v>44</v>
      </c>
      <c r="AE117" s="3">
        <f>V117/AC117</f>
        <v>0.4453012048192771</v>
      </c>
      <c r="AF117" s="3" t="s">
        <v>53</v>
      </c>
    </row>
    <row r="118" spans="1:32">
      <c r="A118" s="3">
        <v>79.099999999999994</v>
      </c>
      <c r="B118" s="3" t="s">
        <v>184</v>
      </c>
      <c r="C118" s="3" t="s">
        <v>214</v>
      </c>
      <c r="D118" s="3">
        <v>-21.199300000000001</v>
      </c>
      <c r="E118" s="3">
        <v>-159.7569</v>
      </c>
      <c r="F118" s="2" t="s">
        <v>161</v>
      </c>
      <c r="G118" s="3" t="s">
        <v>215</v>
      </c>
      <c r="H118" s="11">
        <v>41388</v>
      </c>
      <c r="I118" s="9">
        <v>0.58680555555555558</v>
      </c>
      <c r="J118" s="3">
        <v>26</v>
      </c>
      <c r="K118" s="3" t="s">
        <v>42</v>
      </c>
      <c r="L118" s="3" t="s">
        <v>42</v>
      </c>
      <c r="M118" s="3">
        <v>17</v>
      </c>
      <c r="N118" s="3" t="s">
        <v>207</v>
      </c>
      <c r="O118" s="20">
        <v>20</v>
      </c>
      <c r="P118" s="3">
        <v>5.7</v>
      </c>
      <c r="Q118" s="3">
        <v>19.100000000000001</v>
      </c>
      <c r="R118" s="2" t="s">
        <v>37</v>
      </c>
    </row>
    <row r="119" spans="1:32">
      <c r="A119" s="3">
        <v>79.2</v>
      </c>
      <c r="B119" s="3" t="s">
        <v>184</v>
      </c>
      <c r="C119" s="3" t="s">
        <v>214</v>
      </c>
      <c r="D119" s="3">
        <v>-21.199300000000001</v>
      </c>
      <c r="E119" s="3">
        <v>-159.7569</v>
      </c>
      <c r="F119" s="2" t="s">
        <v>161</v>
      </c>
      <c r="G119" s="3" t="s">
        <v>215</v>
      </c>
      <c r="H119" s="11">
        <v>41388</v>
      </c>
      <c r="I119" s="9">
        <v>0.58680555555555558</v>
      </c>
      <c r="J119" s="3">
        <v>26</v>
      </c>
      <c r="K119" s="3" t="s">
        <v>42</v>
      </c>
      <c r="L119" s="3" t="s">
        <v>42</v>
      </c>
      <c r="M119" s="3">
        <v>17</v>
      </c>
      <c r="N119" s="3" t="s">
        <v>207</v>
      </c>
      <c r="O119" s="20">
        <v>20</v>
      </c>
      <c r="P119" s="3">
        <v>5.7</v>
      </c>
      <c r="Q119" s="3">
        <v>19.100000000000001</v>
      </c>
      <c r="R119" s="2" t="s">
        <v>37</v>
      </c>
    </row>
    <row r="120" spans="1:32">
      <c r="A120" s="3">
        <v>80</v>
      </c>
      <c r="B120" s="3" t="s">
        <v>184</v>
      </c>
      <c r="C120" s="3" t="s">
        <v>214</v>
      </c>
      <c r="D120" s="3">
        <v>-21.199300000000001</v>
      </c>
      <c r="E120" s="3">
        <v>-159.7569</v>
      </c>
      <c r="F120" s="2" t="s">
        <v>161</v>
      </c>
      <c r="G120" s="3" t="s">
        <v>216</v>
      </c>
      <c r="H120" s="11">
        <v>41388</v>
      </c>
      <c r="I120" s="9">
        <v>0.59027777777777779</v>
      </c>
      <c r="J120" s="3">
        <v>26</v>
      </c>
      <c r="K120" s="3" t="s">
        <v>42</v>
      </c>
      <c r="L120" s="3" t="s">
        <v>42</v>
      </c>
      <c r="M120" s="3">
        <v>16</v>
      </c>
      <c r="N120" s="3" t="s">
        <v>207</v>
      </c>
      <c r="O120" s="20">
        <v>20</v>
      </c>
      <c r="P120" s="3">
        <v>7.1</v>
      </c>
      <c r="Q120" s="3">
        <v>24.9</v>
      </c>
      <c r="R120" s="2" t="s">
        <v>37</v>
      </c>
    </row>
    <row r="121" spans="1:32">
      <c r="A121" s="3">
        <v>81.099999999999994</v>
      </c>
      <c r="B121" s="3" t="s">
        <v>184</v>
      </c>
      <c r="C121" s="3" t="s">
        <v>214</v>
      </c>
      <c r="D121" s="3">
        <v>-21.199300000000001</v>
      </c>
      <c r="E121" s="3">
        <v>-159.7569</v>
      </c>
      <c r="F121" s="1" t="s">
        <v>40</v>
      </c>
      <c r="G121" s="3" t="s">
        <v>213</v>
      </c>
      <c r="H121" s="11">
        <v>41388</v>
      </c>
      <c r="I121" s="9">
        <v>0.60069444444444442</v>
      </c>
      <c r="J121" s="3">
        <v>26</v>
      </c>
      <c r="K121" s="3" t="s">
        <v>42</v>
      </c>
      <c r="L121" s="3" t="s">
        <v>42</v>
      </c>
      <c r="M121" s="3">
        <v>16</v>
      </c>
      <c r="N121" s="3" t="s">
        <v>207</v>
      </c>
      <c r="O121" s="20">
        <v>20</v>
      </c>
      <c r="P121" s="3">
        <v>14</v>
      </c>
      <c r="Q121" s="3">
        <v>99.6</v>
      </c>
      <c r="R121" s="2" t="s">
        <v>37</v>
      </c>
      <c r="S121" s="3">
        <v>46.5</v>
      </c>
      <c r="T121" s="3">
        <v>2.23</v>
      </c>
      <c r="U121" s="3">
        <v>0.88</v>
      </c>
      <c r="V121" s="3">
        <f>46.5*30/1000</f>
        <v>1.395</v>
      </c>
      <c r="W121" s="3" t="s">
        <v>47</v>
      </c>
      <c r="X121" s="3">
        <v>200</v>
      </c>
      <c r="Y121" s="7">
        <v>41609</v>
      </c>
      <c r="Z121" s="3">
        <v>72</v>
      </c>
      <c r="AA121" s="3">
        <v>1.96</v>
      </c>
      <c r="AB121" s="3">
        <v>1</v>
      </c>
      <c r="AC121" s="3">
        <f>72*50/1000</f>
        <v>3.6</v>
      </c>
      <c r="AD121" s="3" t="s">
        <v>44</v>
      </c>
      <c r="AE121" s="3">
        <f>V121/AC121</f>
        <v>0.38750000000000001</v>
      </c>
      <c r="AF121" s="3" t="s">
        <v>217</v>
      </c>
    </row>
    <row r="122" spans="1:32">
      <c r="A122" s="3">
        <v>82.1</v>
      </c>
      <c r="B122" s="3" t="s">
        <v>184</v>
      </c>
      <c r="C122" s="3" t="s">
        <v>218</v>
      </c>
      <c r="D122" s="3" t="s">
        <v>72</v>
      </c>
      <c r="F122" s="1" t="s">
        <v>82</v>
      </c>
      <c r="G122" s="3" t="s">
        <v>178</v>
      </c>
      <c r="H122" s="11">
        <v>41390</v>
      </c>
      <c r="I122" s="9">
        <v>0.38541666666666669</v>
      </c>
      <c r="J122" s="3">
        <v>26</v>
      </c>
      <c r="K122" s="3">
        <v>27.3</v>
      </c>
      <c r="L122" s="3">
        <v>35.700000000000003</v>
      </c>
      <c r="M122" s="3">
        <v>16</v>
      </c>
      <c r="N122" s="3" t="s">
        <v>219</v>
      </c>
      <c r="O122" s="20">
        <v>15</v>
      </c>
      <c r="P122" s="3">
        <v>6.2</v>
      </c>
      <c r="Q122" s="3">
        <v>23</v>
      </c>
      <c r="R122" s="2" t="s">
        <v>37</v>
      </c>
    </row>
    <row r="123" spans="1:32">
      <c r="A123" s="3">
        <v>82.2</v>
      </c>
      <c r="B123" s="3" t="s">
        <v>184</v>
      </c>
      <c r="C123" s="3" t="s">
        <v>218</v>
      </c>
      <c r="D123" s="3" t="s">
        <v>72</v>
      </c>
      <c r="F123" s="1" t="s">
        <v>82</v>
      </c>
      <c r="G123" s="3" t="s">
        <v>178</v>
      </c>
      <c r="H123" s="11">
        <v>41390</v>
      </c>
      <c r="I123" s="9">
        <v>0.38541666666666669</v>
      </c>
      <c r="J123" s="3">
        <v>26</v>
      </c>
      <c r="K123" s="3">
        <v>27.3</v>
      </c>
      <c r="L123" s="3">
        <v>35.700000000000003</v>
      </c>
      <c r="M123" s="3">
        <v>16</v>
      </c>
      <c r="N123" s="3" t="s">
        <v>219</v>
      </c>
      <c r="O123" s="20">
        <v>15</v>
      </c>
      <c r="P123" s="3">
        <v>6.2</v>
      </c>
      <c r="Q123" s="3">
        <v>23</v>
      </c>
      <c r="R123" s="2" t="s">
        <v>37</v>
      </c>
      <c r="S123" s="3" t="s">
        <v>38</v>
      </c>
      <c r="Y123" s="7">
        <v>41640</v>
      </c>
      <c r="Z123" s="3">
        <v>45</v>
      </c>
      <c r="AA123" s="3">
        <v>1.99</v>
      </c>
      <c r="AB123" s="3">
        <v>0.31</v>
      </c>
      <c r="AC123" s="3">
        <f>45*50/1000</f>
        <v>2.25</v>
      </c>
      <c r="AD123" s="3" t="s">
        <v>44</v>
      </c>
      <c r="AF123" s="3" t="s">
        <v>217</v>
      </c>
    </row>
    <row r="124" spans="1:32">
      <c r="A124" s="3">
        <v>83.1</v>
      </c>
      <c r="B124" s="3" t="s">
        <v>184</v>
      </c>
      <c r="C124" s="3" t="s">
        <v>218</v>
      </c>
      <c r="D124" s="3">
        <v>-21.264199999999999</v>
      </c>
      <c r="E124" s="3">
        <v>-159.81649999999999</v>
      </c>
      <c r="F124" s="1" t="s">
        <v>82</v>
      </c>
      <c r="G124" s="3" t="s">
        <v>220</v>
      </c>
      <c r="H124" s="11">
        <v>41390</v>
      </c>
      <c r="I124" s="9">
        <v>0.3923611111111111</v>
      </c>
      <c r="J124" s="3">
        <v>26</v>
      </c>
      <c r="K124" s="3">
        <v>27.3</v>
      </c>
      <c r="L124" s="3">
        <v>35.700000000000003</v>
      </c>
      <c r="M124" s="3">
        <v>17</v>
      </c>
      <c r="N124" s="3" t="s">
        <v>221</v>
      </c>
      <c r="O124" s="20">
        <v>20</v>
      </c>
      <c r="P124" s="3">
        <v>6.4</v>
      </c>
      <c r="Q124" s="3">
        <v>22.6</v>
      </c>
      <c r="R124" s="2" t="s">
        <v>37</v>
      </c>
    </row>
    <row r="125" spans="1:32">
      <c r="A125" s="3">
        <v>83.2</v>
      </c>
      <c r="B125" s="3" t="s">
        <v>184</v>
      </c>
      <c r="C125" s="3" t="s">
        <v>218</v>
      </c>
      <c r="D125" s="3">
        <v>-21.264199999999999</v>
      </c>
      <c r="E125" s="3">
        <v>-159.81649999999999</v>
      </c>
      <c r="F125" s="1" t="s">
        <v>82</v>
      </c>
      <c r="G125" s="3" t="s">
        <v>220</v>
      </c>
      <c r="H125" s="11">
        <v>41390</v>
      </c>
      <c r="I125" s="9">
        <v>0.3923611111111111</v>
      </c>
      <c r="J125" s="3">
        <v>26</v>
      </c>
      <c r="K125" s="3">
        <v>27.3</v>
      </c>
      <c r="L125" s="3">
        <v>35.700000000000003</v>
      </c>
      <c r="M125" s="3">
        <v>17</v>
      </c>
      <c r="N125" s="3" t="s">
        <v>221</v>
      </c>
      <c r="O125" s="20">
        <v>20</v>
      </c>
      <c r="P125" s="3">
        <v>6.4</v>
      </c>
      <c r="Q125" s="3">
        <v>22.6</v>
      </c>
      <c r="R125" s="2" t="s">
        <v>37</v>
      </c>
      <c r="S125" s="3" t="s">
        <v>211</v>
      </c>
      <c r="Y125" s="7">
        <v>41640</v>
      </c>
      <c r="Z125" s="3">
        <v>44.8</v>
      </c>
      <c r="AA125" s="3">
        <v>1.91</v>
      </c>
      <c r="AB125" s="3">
        <v>0.45</v>
      </c>
      <c r="AC125" s="3">
        <f>44.8*50/1000</f>
        <v>2.2400000000000002</v>
      </c>
      <c r="AD125" s="3" t="s">
        <v>44</v>
      </c>
      <c r="AF125" s="3" t="s">
        <v>217</v>
      </c>
    </row>
    <row r="126" spans="1:32">
      <c r="A126" s="3">
        <v>84.1</v>
      </c>
      <c r="B126" s="3" t="s">
        <v>184</v>
      </c>
      <c r="C126" s="3" t="s">
        <v>218</v>
      </c>
      <c r="D126" s="3">
        <v>-21.264199999999999</v>
      </c>
      <c r="E126" s="3">
        <v>-159.81649999999999</v>
      </c>
      <c r="F126" s="1" t="s">
        <v>82</v>
      </c>
      <c r="G126" s="3" t="s">
        <v>222</v>
      </c>
      <c r="H126" s="11">
        <v>41390</v>
      </c>
      <c r="I126" s="9">
        <v>0.40277777777777773</v>
      </c>
      <c r="J126" s="3">
        <v>26</v>
      </c>
      <c r="K126" s="3">
        <v>27.3</v>
      </c>
      <c r="L126" s="3">
        <v>35.700000000000003</v>
      </c>
      <c r="M126" s="3">
        <v>14.5</v>
      </c>
      <c r="N126" s="3" t="s">
        <v>221</v>
      </c>
      <c r="O126" s="20">
        <v>20</v>
      </c>
      <c r="P126" s="3">
        <v>9.8000000000000007</v>
      </c>
      <c r="Q126" s="3">
        <v>56.6</v>
      </c>
      <c r="R126" s="2" t="s">
        <v>37</v>
      </c>
      <c r="S126" s="3">
        <v>10.9</v>
      </c>
      <c r="T126" s="3">
        <v>2.0499999999999998</v>
      </c>
      <c r="U126" s="3">
        <v>0.31</v>
      </c>
      <c r="V126" s="3" t="s">
        <v>224</v>
      </c>
      <c r="Y126" s="7">
        <v>41640</v>
      </c>
      <c r="Z126" s="3">
        <v>21</v>
      </c>
      <c r="AA126" s="3">
        <v>1.91</v>
      </c>
      <c r="AB126" s="3">
        <v>0.14000000000000001</v>
      </c>
      <c r="AC126" s="3">
        <f>21*50/1000</f>
        <v>1.05</v>
      </c>
      <c r="AD126" s="3" t="s">
        <v>60</v>
      </c>
      <c r="AF126" s="3" t="s">
        <v>217</v>
      </c>
    </row>
    <row r="127" spans="1:32">
      <c r="A127" s="3">
        <v>85.1</v>
      </c>
      <c r="B127" s="3" t="s">
        <v>184</v>
      </c>
      <c r="C127" s="3" t="s">
        <v>225</v>
      </c>
      <c r="D127" s="3">
        <v>-21.2745</v>
      </c>
      <c r="E127" s="3">
        <v>-159.77250000000001</v>
      </c>
      <c r="F127" s="2" t="s">
        <v>161</v>
      </c>
      <c r="G127" s="3" t="s">
        <v>226</v>
      </c>
      <c r="H127" s="11">
        <v>41390</v>
      </c>
      <c r="I127" s="9">
        <v>0.46527777777777773</v>
      </c>
      <c r="J127" s="3">
        <v>27</v>
      </c>
      <c r="K127" s="3">
        <v>27.3</v>
      </c>
      <c r="L127" s="3">
        <v>35.700000000000003</v>
      </c>
      <c r="M127" s="3">
        <v>16.5</v>
      </c>
      <c r="N127" s="3" t="s">
        <v>227</v>
      </c>
      <c r="O127" s="20">
        <v>20</v>
      </c>
      <c r="P127" s="3">
        <v>10.7</v>
      </c>
      <c r="Q127" s="3">
        <v>39.5</v>
      </c>
      <c r="R127" s="2" t="s">
        <v>37</v>
      </c>
      <c r="V127" s="3">
        <f>10.9*30/1000</f>
        <v>0.32700000000000001</v>
      </c>
    </row>
    <row r="128" spans="1:32">
      <c r="A128" s="3">
        <v>85.2</v>
      </c>
      <c r="B128" s="3" t="s">
        <v>184</v>
      </c>
      <c r="C128" s="3" t="s">
        <v>225</v>
      </c>
      <c r="D128" s="3">
        <v>-21.2745</v>
      </c>
      <c r="E128" s="3">
        <v>-159.77250000000001</v>
      </c>
      <c r="F128" s="2" t="s">
        <v>161</v>
      </c>
      <c r="G128" s="3" t="s">
        <v>226</v>
      </c>
      <c r="H128" s="11">
        <v>41390</v>
      </c>
      <c r="I128" s="9">
        <v>0.46527777777777773</v>
      </c>
      <c r="J128" s="3">
        <v>27</v>
      </c>
      <c r="K128" s="3">
        <v>27.3</v>
      </c>
      <c r="L128" s="3">
        <v>35.700000000000003</v>
      </c>
      <c r="M128" s="3">
        <v>16.5</v>
      </c>
      <c r="N128" s="3" t="s">
        <v>227</v>
      </c>
      <c r="O128" s="20">
        <v>20</v>
      </c>
      <c r="P128" s="3">
        <v>10.7</v>
      </c>
      <c r="Q128" s="3">
        <v>39.5</v>
      </c>
      <c r="R128" s="2" t="s">
        <v>37</v>
      </c>
    </row>
    <row r="129" spans="1:40">
      <c r="A129" s="3">
        <v>86.1</v>
      </c>
      <c r="B129" s="3" t="s">
        <v>184</v>
      </c>
      <c r="C129" s="3" t="s">
        <v>225</v>
      </c>
      <c r="D129" s="3">
        <v>-21.2745</v>
      </c>
      <c r="E129" s="3">
        <v>-159.77250000000001</v>
      </c>
      <c r="F129" s="1" t="s">
        <v>40</v>
      </c>
      <c r="G129" s="3" t="s">
        <v>228</v>
      </c>
      <c r="H129" s="11">
        <v>41390</v>
      </c>
      <c r="I129" s="9">
        <v>0.47222222222222227</v>
      </c>
      <c r="J129" s="3">
        <v>27</v>
      </c>
      <c r="K129" s="3">
        <v>27.3</v>
      </c>
      <c r="L129" s="3">
        <v>35.700000000000003</v>
      </c>
      <c r="M129" s="3">
        <v>16</v>
      </c>
      <c r="N129" s="3" t="s">
        <v>227</v>
      </c>
      <c r="O129" s="20">
        <v>20</v>
      </c>
      <c r="P129" s="3">
        <v>16.8</v>
      </c>
      <c r="Q129" s="3">
        <v>162.30000000000001</v>
      </c>
      <c r="R129" s="2" t="s">
        <v>37</v>
      </c>
    </row>
    <row r="130" spans="1:40">
      <c r="A130" s="3">
        <v>86.2</v>
      </c>
      <c r="B130" s="3" t="s">
        <v>184</v>
      </c>
      <c r="C130" s="3" t="s">
        <v>225</v>
      </c>
      <c r="D130" s="3">
        <v>-21.2745</v>
      </c>
      <c r="E130" s="3">
        <v>-159.77250000000001</v>
      </c>
      <c r="F130" s="1" t="s">
        <v>40</v>
      </c>
      <c r="G130" s="3" t="s">
        <v>228</v>
      </c>
      <c r="H130" s="11">
        <v>41390</v>
      </c>
      <c r="I130" s="9">
        <v>0.47222222222222227</v>
      </c>
      <c r="J130" s="3">
        <v>27</v>
      </c>
      <c r="K130" s="3">
        <v>27.3</v>
      </c>
      <c r="L130" s="3">
        <v>35.700000000000003</v>
      </c>
      <c r="M130" s="3">
        <v>16</v>
      </c>
      <c r="N130" s="3" t="s">
        <v>227</v>
      </c>
      <c r="O130" s="20">
        <v>20</v>
      </c>
      <c r="P130" s="3">
        <v>16.8</v>
      </c>
      <c r="Q130" s="3">
        <v>162.30000000000001</v>
      </c>
      <c r="R130" s="2" t="s">
        <v>37</v>
      </c>
      <c r="S130" s="3">
        <v>65.599999999999994</v>
      </c>
      <c r="T130" s="3">
        <v>2.15</v>
      </c>
      <c r="U130" s="3">
        <v>1.85</v>
      </c>
      <c r="V130" s="3">
        <f>30*65.6/1000</f>
        <v>1.9679999999999997</v>
      </c>
      <c r="W130" s="3" t="s">
        <v>47</v>
      </c>
      <c r="X130" s="3">
        <v>200</v>
      </c>
      <c r="Y130" s="7">
        <v>41609</v>
      </c>
      <c r="Z130" s="3">
        <v>168.4</v>
      </c>
      <c r="AA130" s="3">
        <v>1.96</v>
      </c>
      <c r="AB130" s="3">
        <v>1.08</v>
      </c>
      <c r="AC130" s="3">
        <f>168.4*50/1000</f>
        <v>8.42</v>
      </c>
      <c r="AD130" s="3" t="s">
        <v>44</v>
      </c>
      <c r="AE130" s="3">
        <f>V130/AC130</f>
        <v>0.23372921615201897</v>
      </c>
      <c r="AF130" s="3" t="s">
        <v>217</v>
      </c>
    </row>
    <row r="131" spans="1:40">
      <c r="A131" s="3">
        <v>87.1</v>
      </c>
      <c r="B131" s="3" t="s">
        <v>184</v>
      </c>
      <c r="C131" s="3" t="s">
        <v>225</v>
      </c>
      <c r="D131" s="3">
        <v>-21.2745</v>
      </c>
      <c r="E131" s="3">
        <v>-159.77250000000001</v>
      </c>
      <c r="F131" s="2" t="s">
        <v>161</v>
      </c>
      <c r="G131" s="3" t="s">
        <v>208</v>
      </c>
      <c r="H131" s="11">
        <v>41390</v>
      </c>
      <c r="I131" s="9">
        <v>0.4861111111111111</v>
      </c>
      <c r="J131" s="3">
        <v>27</v>
      </c>
      <c r="K131" s="3">
        <v>27.3</v>
      </c>
      <c r="L131" s="3">
        <v>35.700000000000003</v>
      </c>
      <c r="M131" s="3">
        <v>15.5</v>
      </c>
      <c r="N131" s="3" t="s">
        <v>227</v>
      </c>
      <c r="O131" s="20">
        <v>20</v>
      </c>
      <c r="P131" s="3">
        <v>5.5</v>
      </c>
      <c r="Q131" s="3">
        <v>16.600000000000001</v>
      </c>
      <c r="R131" s="2" t="s">
        <v>37</v>
      </c>
    </row>
    <row r="132" spans="1:40">
      <c r="A132" s="3">
        <v>87.2</v>
      </c>
      <c r="B132" s="3" t="s">
        <v>184</v>
      </c>
      <c r="C132" s="3" t="s">
        <v>225</v>
      </c>
      <c r="D132" s="3">
        <v>-21.2745</v>
      </c>
      <c r="E132" s="3">
        <v>-159.77250000000001</v>
      </c>
      <c r="F132" s="2" t="s">
        <v>161</v>
      </c>
      <c r="G132" s="3" t="s">
        <v>208</v>
      </c>
      <c r="H132" s="11">
        <v>41390</v>
      </c>
      <c r="I132" s="9">
        <v>0.4861111111111111</v>
      </c>
      <c r="J132" s="3">
        <v>27</v>
      </c>
      <c r="K132" s="3">
        <v>27.3</v>
      </c>
      <c r="L132" s="3">
        <v>35.700000000000003</v>
      </c>
      <c r="M132" s="3">
        <v>15.5</v>
      </c>
      <c r="N132" s="3" t="s">
        <v>227</v>
      </c>
      <c r="O132" s="20">
        <v>20</v>
      </c>
      <c r="P132" s="3">
        <v>5.5</v>
      </c>
      <c r="Q132" s="3">
        <v>16.600000000000001</v>
      </c>
      <c r="R132" s="2" t="s">
        <v>37</v>
      </c>
    </row>
    <row r="133" spans="1:40">
      <c r="A133" s="3">
        <v>88.1</v>
      </c>
      <c r="B133" s="3" t="s">
        <v>184</v>
      </c>
      <c r="C133" s="3" t="s">
        <v>225</v>
      </c>
      <c r="D133" s="3">
        <v>-21.2745</v>
      </c>
      <c r="E133" s="3">
        <v>-159.77250000000001</v>
      </c>
      <c r="F133" s="1" t="s">
        <v>82</v>
      </c>
      <c r="G133" s="3" t="s">
        <v>229</v>
      </c>
      <c r="H133" s="11">
        <v>41390</v>
      </c>
      <c r="I133" s="9">
        <v>0.49652777777777773</v>
      </c>
      <c r="J133" s="3">
        <v>27</v>
      </c>
      <c r="K133" s="3">
        <v>27.3</v>
      </c>
      <c r="L133" s="3">
        <v>35.700000000000003</v>
      </c>
      <c r="M133" s="3">
        <v>9</v>
      </c>
      <c r="N133" s="3" t="s">
        <v>230</v>
      </c>
      <c r="O133" s="20">
        <v>10</v>
      </c>
      <c r="P133" s="3">
        <v>12.8</v>
      </c>
      <c r="Q133" s="3">
        <v>108</v>
      </c>
      <c r="R133" s="2" t="s">
        <v>37</v>
      </c>
    </row>
    <row r="134" spans="1:40">
      <c r="A134" s="3">
        <v>88.2</v>
      </c>
      <c r="B134" s="3" t="s">
        <v>184</v>
      </c>
      <c r="C134" s="3" t="s">
        <v>225</v>
      </c>
      <c r="D134" s="3">
        <v>-21.2745</v>
      </c>
      <c r="E134" s="3">
        <v>-159.77250000000001</v>
      </c>
      <c r="F134" s="1" t="s">
        <v>82</v>
      </c>
      <c r="G134" s="3" t="s">
        <v>229</v>
      </c>
      <c r="H134" s="11">
        <v>41390</v>
      </c>
      <c r="I134" s="9">
        <v>0.49652777777777773</v>
      </c>
      <c r="J134" s="3">
        <v>27</v>
      </c>
      <c r="K134" s="3">
        <v>27.3</v>
      </c>
      <c r="L134" s="3">
        <v>35.700000000000003</v>
      </c>
      <c r="M134" s="3">
        <v>9</v>
      </c>
      <c r="N134" s="3" t="s">
        <v>230</v>
      </c>
      <c r="O134" s="20">
        <v>10</v>
      </c>
      <c r="P134" s="3">
        <v>12.8</v>
      </c>
      <c r="Q134" s="3">
        <v>108</v>
      </c>
      <c r="R134" s="2" t="s">
        <v>37</v>
      </c>
      <c r="S134" s="3">
        <v>55.2</v>
      </c>
      <c r="T134" s="3">
        <v>2.1800000000000002</v>
      </c>
      <c r="U134" s="3">
        <v>0.94</v>
      </c>
      <c r="V134" s="3">
        <f>55.2*30/1000</f>
        <v>1.6559999999999999</v>
      </c>
      <c r="W134" s="3" t="s">
        <v>47</v>
      </c>
      <c r="X134" s="3">
        <v>200</v>
      </c>
      <c r="Y134" s="7">
        <v>41640</v>
      </c>
      <c r="Z134" s="3">
        <v>36.5</v>
      </c>
      <c r="AA134" s="3">
        <v>1.97</v>
      </c>
      <c r="AB134" s="3">
        <v>0.28999999999999998</v>
      </c>
      <c r="AC134" s="3">
        <f>50*36.5/1000</f>
        <v>1.825</v>
      </c>
      <c r="AD134" s="3" t="s">
        <v>44</v>
      </c>
      <c r="AE134" s="3">
        <f>V134/AC134</f>
        <v>0.90739726027397261</v>
      </c>
      <c r="AF134" s="3" t="s">
        <v>217</v>
      </c>
    </row>
    <row r="135" spans="1:40">
      <c r="A135" s="3">
        <v>89</v>
      </c>
      <c r="B135" s="3" t="s">
        <v>184</v>
      </c>
      <c r="C135" s="3" t="s">
        <v>231</v>
      </c>
      <c r="D135" s="3">
        <v>-21.271899999999999</v>
      </c>
      <c r="E135" s="3">
        <v>-159.72989999999999</v>
      </c>
      <c r="F135" s="2" t="s">
        <v>161</v>
      </c>
      <c r="G135" s="3" t="s">
        <v>232</v>
      </c>
      <c r="H135" s="11">
        <v>41390</v>
      </c>
      <c r="I135" s="9">
        <v>0.64930555555555558</v>
      </c>
      <c r="J135" s="3">
        <v>26.5</v>
      </c>
      <c r="K135" s="3">
        <v>27.4</v>
      </c>
      <c r="L135" s="3">
        <v>35.700000000000003</v>
      </c>
      <c r="M135" s="3">
        <v>17</v>
      </c>
      <c r="N135" s="3" t="s">
        <v>230</v>
      </c>
      <c r="O135" s="20">
        <v>15</v>
      </c>
      <c r="P135" s="3">
        <v>5.2</v>
      </c>
      <c r="Q135" s="3">
        <v>16.8</v>
      </c>
      <c r="R135" s="2" t="s">
        <v>37</v>
      </c>
    </row>
    <row r="136" spans="1:40">
      <c r="A136" s="3">
        <v>90.1</v>
      </c>
      <c r="B136" s="3" t="s">
        <v>184</v>
      </c>
      <c r="C136" s="3" t="s">
        <v>233</v>
      </c>
      <c r="D136" s="3" t="s">
        <v>72</v>
      </c>
      <c r="F136" s="2" t="s">
        <v>161</v>
      </c>
      <c r="G136" s="3" t="s">
        <v>232</v>
      </c>
      <c r="H136" s="11">
        <v>41391</v>
      </c>
      <c r="I136" s="9">
        <v>0.47222222222222227</v>
      </c>
      <c r="J136" s="3">
        <v>26</v>
      </c>
      <c r="K136" s="3">
        <v>27.4</v>
      </c>
      <c r="L136" s="3">
        <v>35.700000000000003</v>
      </c>
      <c r="M136" s="3">
        <v>17</v>
      </c>
      <c r="N136" s="3" t="s">
        <v>234</v>
      </c>
      <c r="O136" s="20">
        <v>10</v>
      </c>
      <c r="P136" s="3">
        <v>7</v>
      </c>
      <c r="Q136" s="3">
        <v>28.9</v>
      </c>
      <c r="R136" s="2" t="s">
        <v>37</v>
      </c>
      <c r="S136" s="3" t="s">
        <v>38</v>
      </c>
      <c r="Y136" s="7">
        <v>41640</v>
      </c>
      <c r="Z136" s="3" t="s">
        <v>38</v>
      </c>
      <c r="AF136" s="3" t="s">
        <v>217</v>
      </c>
    </row>
    <row r="137" spans="1:40">
      <c r="A137" s="3">
        <v>90.2</v>
      </c>
      <c r="B137" s="3" t="s">
        <v>184</v>
      </c>
      <c r="C137" s="3" t="s">
        <v>233</v>
      </c>
      <c r="D137" s="3" t="s">
        <v>72</v>
      </c>
      <c r="F137" s="2" t="s">
        <v>161</v>
      </c>
      <c r="G137" s="3" t="s">
        <v>70</v>
      </c>
      <c r="H137" s="11">
        <v>41391</v>
      </c>
      <c r="I137" s="9">
        <v>0.47222222222222227</v>
      </c>
      <c r="J137" s="3">
        <v>26</v>
      </c>
      <c r="K137" s="3">
        <v>27.4</v>
      </c>
      <c r="L137" s="3">
        <v>35.700000000000003</v>
      </c>
      <c r="M137" s="3">
        <v>17</v>
      </c>
      <c r="N137" s="3" t="s">
        <v>234</v>
      </c>
      <c r="O137" s="20">
        <v>10</v>
      </c>
      <c r="P137" s="3">
        <v>7</v>
      </c>
      <c r="Q137" s="3">
        <v>28.9</v>
      </c>
      <c r="R137" s="2" t="s">
        <v>37</v>
      </c>
      <c r="Y137" s="7"/>
    </row>
    <row r="138" spans="1:40">
      <c r="A138" s="3">
        <v>91.1</v>
      </c>
      <c r="B138" s="3" t="s">
        <v>184</v>
      </c>
      <c r="C138" s="3" t="s">
        <v>233</v>
      </c>
      <c r="D138" s="3">
        <v>-21.200700000000001</v>
      </c>
      <c r="E138" s="3">
        <v>-159.7714</v>
      </c>
      <c r="F138" s="2" t="s">
        <v>161</v>
      </c>
      <c r="G138" s="3" t="s">
        <v>235</v>
      </c>
      <c r="H138" s="11">
        <v>41391</v>
      </c>
      <c r="I138" s="9">
        <v>0.4861111111111111</v>
      </c>
      <c r="J138" s="3">
        <v>27</v>
      </c>
      <c r="K138" s="3">
        <v>27.4</v>
      </c>
      <c r="L138" s="3">
        <v>35.700000000000003</v>
      </c>
      <c r="M138" s="3">
        <v>16</v>
      </c>
      <c r="N138" s="3" t="s">
        <v>234</v>
      </c>
      <c r="O138" s="20">
        <v>10</v>
      </c>
      <c r="P138" s="3">
        <v>8.4</v>
      </c>
      <c r="Q138" s="3">
        <v>42.8</v>
      </c>
      <c r="R138" s="2" t="s">
        <v>37</v>
      </c>
    </row>
    <row r="139" spans="1:40">
      <c r="A139" s="3">
        <v>91.2</v>
      </c>
      <c r="B139" s="3" t="s">
        <v>184</v>
      </c>
      <c r="C139" s="3" t="s">
        <v>233</v>
      </c>
      <c r="D139" s="3">
        <v>-21.200700000000001</v>
      </c>
      <c r="E139" s="3">
        <v>-159.7714</v>
      </c>
      <c r="F139" s="2" t="s">
        <v>161</v>
      </c>
      <c r="G139" s="3" t="s">
        <v>235</v>
      </c>
      <c r="H139" s="11">
        <v>41391</v>
      </c>
      <c r="I139" s="9">
        <v>0.4861111111111111</v>
      </c>
      <c r="J139" s="3">
        <v>27</v>
      </c>
      <c r="K139" s="3">
        <v>27.4</v>
      </c>
      <c r="L139" s="3">
        <v>35.700000000000003</v>
      </c>
      <c r="M139" s="3">
        <v>16</v>
      </c>
      <c r="N139" s="3" t="s">
        <v>234</v>
      </c>
      <c r="O139" s="20">
        <v>10</v>
      </c>
      <c r="P139" s="3">
        <v>8.4</v>
      </c>
      <c r="Q139" s="3">
        <v>42.8</v>
      </c>
      <c r="R139" s="2" t="s">
        <v>37</v>
      </c>
    </row>
    <row r="140" spans="1:40">
      <c r="A140" s="3">
        <v>92.1</v>
      </c>
      <c r="B140" s="3" t="s">
        <v>184</v>
      </c>
      <c r="C140" s="3" t="s">
        <v>236</v>
      </c>
      <c r="D140" s="3">
        <v>-21.23</v>
      </c>
      <c r="E140" s="3">
        <v>-159.83349999999999</v>
      </c>
      <c r="F140" s="2" t="s">
        <v>161</v>
      </c>
      <c r="G140" s="3" t="s">
        <v>237</v>
      </c>
      <c r="H140" s="11">
        <v>41391</v>
      </c>
      <c r="I140" s="9">
        <v>0.60069444444444442</v>
      </c>
      <c r="J140" s="3">
        <v>24</v>
      </c>
      <c r="K140" s="3">
        <v>27.3</v>
      </c>
      <c r="L140" s="3">
        <v>35.700000000000003</v>
      </c>
      <c r="M140" s="3">
        <v>17</v>
      </c>
      <c r="N140" s="3" t="s">
        <v>234</v>
      </c>
      <c r="O140" s="20">
        <v>10</v>
      </c>
      <c r="P140" s="3">
        <v>4.9000000000000004</v>
      </c>
      <c r="Q140" s="3">
        <v>14.7</v>
      </c>
      <c r="R140" s="2" t="s">
        <v>37</v>
      </c>
    </row>
    <row r="141" spans="1:40">
      <c r="A141" s="3">
        <v>92.2</v>
      </c>
      <c r="B141" s="3" t="s">
        <v>184</v>
      </c>
      <c r="C141" s="3" t="s">
        <v>236</v>
      </c>
      <c r="D141" s="3">
        <v>-21.23</v>
      </c>
      <c r="E141" s="3">
        <v>-159.83349999999999</v>
      </c>
      <c r="F141" s="2" t="s">
        <v>161</v>
      </c>
      <c r="G141" s="3" t="s">
        <v>237</v>
      </c>
      <c r="H141" s="11">
        <v>41391</v>
      </c>
      <c r="I141" s="9">
        <v>0.60069444444444442</v>
      </c>
      <c r="J141" s="3">
        <v>24</v>
      </c>
      <c r="K141" s="3">
        <v>27.3</v>
      </c>
      <c r="L141" s="3">
        <v>35.700000000000003</v>
      </c>
      <c r="M141" s="3">
        <v>17</v>
      </c>
      <c r="N141" s="3" t="s">
        <v>234</v>
      </c>
      <c r="O141" s="20">
        <v>10</v>
      </c>
      <c r="P141" s="3">
        <v>4.9000000000000004</v>
      </c>
      <c r="Q141" s="3">
        <v>14.7</v>
      </c>
      <c r="R141" s="2" t="s">
        <v>37</v>
      </c>
    </row>
    <row r="142" spans="1:40">
      <c r="A142" s="3">
        <v>93.1</v>
      </c>
      <c r="B142" s="3" t="s">
        <v>184</v>
      </c>
      <c r="C142" s="3" t="s">
        <v>236</v>
      </c>
      <c r="D142" s="3">
        <v>-21.23</v>
      </c>
      <c r="E142" s="3">
        <v>-159.83349999999999</v>
      </c>
      <c r="F142" s="2" t="s">
        <v>161</v>
      </c>
      <c r="G142" s="3" t="s">
        <v>238</v>
      </c>
      <c r="H142" s="11">
        <v>41391</v>
      </c>
      <c r="I142" s="9">
        <v>0.60763888888888895</v>
      </c>
      <c r="J142" s="3">
        <v>26</v>
      </c>
      <c r="K142" s="3">
        <v>27.3</v>
      </c>
      <c r="L142" s="3">
        <v>35.700000000000003</v>
      </c>
      <c r="M142" s="3">
        <v>16</v>
      </c>
      <c r="N142" s="3" t="s">
        <v>234</v>
      </c>
      <c r="O142" s="20">
        <v>10</v>
      </c>
      <c r="P142" s="3">
        <v>6.4</v>
      </c>
      <c r="Q142" s="3">
        <v>26.6</v>
      </c>
      <c r="R142" s="2" t="s">
        <v>37</v>
      </c>
      <c r="AM142" s="12"/>
      <c r="AN142" s="12"/>
    </row>
    <row r="143" spans="1:40">
      <c r="A143" s="3">
        <v>93.2</v>
      </c>
      <c r="B143" s="3" t="s">
        <v>184</v>
      </c>
      <c r="C143" s="3" t="s">
        <v>236</v>
      </c>
      <c r="D143" s="3">
        <v>-21.23</v>
      </c>
      <c r="E143" s="3">
        <v>-159.83349999999999</v>
      </c>
      <c r="F143" s="2" t="s">
        <v>161</v>
      </c>
      <c r="G143" s="3" t="s">
        <v>238</v>
      </c>
      <c r="H143" s="11">
        <v>41391</v>
      </c>
      <c r="I143" s="9">
        <v>0.60763888888888895</v>
      </c>
      <c r="J143" s="3">
        <v>26</v>
      </c>
      <c r="K143" s="3">
        <v>27.3</v>
      </c>
      <c r="L143" s="3">
        <v>35.700000000000003</v>
      </c>
      <c r="M143" s="3">
        <v>16</v>
      </c>
      <c r="N143" s="3" t="s">
        <v>234</v>
      </c>
      <c r="O143" s="20">
        <v>10</v>
      </c>
      <c r="P143" s="3">
        <v>6.4</v>
      </c>
      <c r="Q143" s="3">
        <v>26.6</v>
      </c>
      <c r="R143" s="2" t="s">
        <v>37</v>
      </c>
      <c r="AM143" s="21"/>
      <c r="AN143" s="21"/>
    </row>
    <row r="144" spans="1:40">
      <c r="A144" s="3">
        <v>94.1</v>
      </c>
      <c r="B144" s="3" t="s">
        <v>184</v>
      </c>
      <c r="C144" s="3" t="s">
        <v>236</v>
      </c>
      <c r="D144" s="3">
        <v>-21.23</v>
      </c>
      <c r="E144" s="3">
        <v>-159.83349999999999</v>
      </c>
      <c r="F144" s="2" t="s">
        <v>161</v>
      </c>
      <c r="G144" s="3" t="s">
        <v>70</v>
      </c>
      <c r="H144" s="11">
        <v>41391</v>
      </c>
      <c r="I144" s="9">
        <v>0.61805555555555558</v>
      </c>
      <c r="J144" s="3">
        <v>26</v>
      </c>
      <c r="K144" s="3">
        <v>27.3</v>
      </c>
      <c r="L144" s="3">
        <v>35.700000000000003</v>
      </c>
      <c r="M144" s="3">
        <v>16</v>
      </c>
      <c r="N144" s="3" t="s">
        <v>234</v>
      </c>
      <c r="O144" s="20">
        <v>15</v>
      </c>
      <c r="P144" s="3" t="s">
        <v>239</v>
      </c>
      <c r="R144" s="2" t="s">
        <v>37</v>
      </c>
    </row>
    <row r="145" spans="1:45">
      <c r="A145" s="3">
        <v>94.2</v>
      </c>
      <c r="B145" s="3" t="s">
        <v>184</v>
      </c>
      <c r="C145" s="3" t="s">
        <v>236</v>
      </c>
      <c r="D145" s="3">
        <v>-21.23</v>
      </c>
      <c r="E145" s="3">
        <v>-159.83349999999999</v>
      </c>
      <c r="F145" s="1" t="s">
        <v>82</v>
      </c>
      <c r="G145" s="3" t="s">
        <v>240</v>
      </c>
      <c r="H145" s="11">
        <v>41391</v>
      </c>
      <c r="I145" s="9">
        <v>0.61805555555555558</v>
      </c>
      <c r="J145" s="3">
        <v>26</v>
      </c>
      <c r="K145" s="3">
        <v>27.3</v>
      </c>
      <c r="L145" s="3">
        <v>35.700000000000003</v>
      </c>
      <c r="M145" s="3">
        <v>16</v>
      </c>
      <c r="N145" s="3" t="s">
        <v>234</v>
      </c>
      <c r="O145" s="20">
        <v>15</v>
      </c>
      <c r="P145" s="3" t="s">
        <v>239</v>
      </c>
      <c r="R145" s="2" t="s">
        <v>37</v>
      </c>
      <c r="S145" s="3">
        <v>22.6</v>
      </c>
      <c r="T145" s="3">
        <v>2.27</v>
      </c>
      <c r="U145" s="3">
        <v>0.19</v>
      </c>
      <c r="V145" s="3">
        <f>30*22.6/1000</f>
        <v>0.67800000000000005</v>
      </c>
      <c r="W145" s="3" t="s">
        <v>60</v>
      </c>
      <c r="X145" s="3">
        <v>200</v>
      </c>
      <c r="Y145" s="7">
        <v>41640</v>
      </c>
      <c r="Z145" s="3" t="s">
        <v>38</v>
      </c>
      <c r="AF145" s="3" t="s">
        <v>217</v>
      </c>
    </row>
    <row r="146" spans="1:45">
      <c r="A146" s="12">
        <v>95.1</v>
      </c>
      <c r="B146" s="12" t="s">
        <v>184</v>
      </c>
      <c r="C146" s="12" t="s">
        <v>241</v>
      </c>
      <c r="D146" s="12">
        <v>-21.1935</v>
      </c>
      <c r="E146" s="12">
        <v>-159.79650000000001</v>
      </c>
      <c r="F146" s="2" t="s">
        <v>161</v>
      </c>
      <c r="G146" s="12" t="s">
        <v>208</v>
      </c>
      <c r="H146" s="35">
        <v>41391</v>
      </c>
      <c r="I146" s="36">
        <v>0.69097222222222221</v>
      </c>
      <c r="J146" s="12">
        <v>26</v>
      </c>
      <c r="K146" s="12">
        <v>27.4</v>
      </c>
      <c r="L146" s="12">
        <v>35.700000000000003</v>
      </c>
      <c r="M146" s="12">
        <v>15</v>
      </c>
      <c r="N146" s="12" t="s">
        <v>242</v>
      </c>
      <c r="O146" s="38">
        <v>20</v>
      </c>
      <c r="P146" s="12">
        <v>10.9</v>
      </c>
      <c r="Q146" s="12">
        <v>55.2</v>
      </c>
      <c r="R146" s="18" t="s">
        <v>37</v>
      </c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</row>
    <row r="147" spans="1:45" s="21" customFormat="1">
      <c r="A147" s="21">
        <v>95.2</v>
      </c>
      <c r="B147" s="21" t="s">
        <v>184</v>
      </c>
      <c r="C147" s="21" t="s">
        <v>241</v>
      </c>
      <c r="D147" s="21">
        <v>-21.1935</v>
      </c>
      <c r="E147" s="21">
        <v>-159.79650000000001</v>
      </c>
      <c r="F147" s="19" t="s">
        <v>161</v>
      </c>
      <c r="G147" s="21" t="s">
        <v>208</v>
      </c>
      <c r="H147" s="22">
        <v>41391</v>
      </c>
      <c r="I147" s="23">
        <v>0.69097222222222221</v>
      </c>
      <c r="J147" s="21">
        <v>26</v>
      </c>
      <c r="K147" s="21">
        <v>27.4</v>
      </c>
      <c r="L147" s="21">
        <v>35.700000000000003</v>
      </c>
      <c r="M147" s="21">
        <v>15</v>
      </c>
      <c r="N147" s="21" t="s">
        <v>242</v>
      </c>
      <c r="O147" s="39">
        <v>20</v>
      </c>
      <c r="P147" s="21">
        <v>10.9</v>
      </c>
      <c r="Q147" s="21">
        <v>55.2</v>
      </c>
      <c r="R147" s="19" t="s">
        <v>37</v>
      </c>
    </row>
    <row r="148" spans="1:45">
      <c r="A148" s="3">
        <v>96.1</v>
      </c>
      <c r="B148" s="3" t="s">
        <v>243</v>
      </c>
      <c r="C148" s="3" t="s">
        <v>244</v>
      </c>
      <c r="D148" s="3">
        <v>-18.904299999999999</v>
      </c>
      <c r="E148" s="3">
        <v>-159.7236</v>
      </c>
      <c r="F148" s="1" t="s">
        <v>82</v>
      </c>
      <c r="G148" s="3" t="s">
        <v>245</v>
      </c>
      <c r="H148" s="11">
        <v>41392</v>
      </c>
      <c r="I148" s="9">
        <v>0.41666666666666669</v>
      </c>
      <c r="J148" s="3">
        <v>28</v>
      </c>
      <c r="K148" s="3">
        <v>28.6</v>
      </c>
      <c r="L148" s="3">
        <v>35.5</v>
      </c>
      <c r="M148" s="3">
        <v>11.5</v>
      </c>
      <c r="N148" s="3" t="s">
        <v>246</v>
      </c>
      <c r="O148" s="3">
        <v>20</v>
      </c>
      <c r="P148" s="3">
        <v>8.9</v>
      </c>
      <c r="Q148" s="3">
        <v>31</v>
      </c>
      <c r="R148" s="2" t="s">
        <v>37</v>
      </c>
      <c r="Y148" s="7">
        <v>41640</v>
      </c>
      <c r="Z148" s="3">
        <v>9.6</v>
      </c>
      <c r="AA148" s="3">
        <v>2.2599999999999998</v>
      </c>
      <c r="AB148" s="3">
        <v>0.04</v>
      </c>
      <c r="AC148" s="3">
        <f>9.6*50/1000</f>
        <v>0.48</v>
      </c>
      <c r="AD148" s="3" t="s">
        <v>247</v>
      </c>
      <c r="AF148" s="3" t="s">
        <v>217</v>
      </c>
      <c r="AG148" s="3" t="s">
        <v>28</v>
      </c>
      <c r="AH148" s="3" t="s">
        <v>29</v>
      </c>
      <c r="AI148" s="3" t="s">
        <v>30</v>
      </c>
      <c r="AJ148" s="3" t="s">
        <v>31</v>
      </c>
      <c r="AK148" s="3" t="s">
        <v>6</v>
      </c>
    </row>
    <row r="149" spans="1:45">
      <c r="A149" s="3">
        <v>96.2</v>
      </c>
      <c r="B149" s="3" t="s">
        <v>243</v>
      </c>
      <c r="C149" s="3" t="s">
        <v>244</v>
      </c>
      <c r="D149" s="3">
        <v>-18.904299999999999</v>
      </c>
      <c r="E149" s="3">
        <v>-159.7236</v>
      </c>
      <c r="F149" s="1" t="s">
        <v>82</v>
      </c>
      <c r="G149" s="3" t="s">
        <v>245</v>
      </c>
      <c r="H149" s="11">
        <v>41392</v>
      </c>
      <c r="I149" s="9">
        <v>0.41666666666666669</v>
      </c>
      <c r="J149" s="3">
        <v>28</v>
      </c>
      <c r="K149" s="3">
        <v>28.6</v>
      </c>
      <c r="L149" s="3">
        <v>35.5</v>
      </c>
      <c r="M149" s="3">
        <v>11.5</v>
      </c>
      <c r="N149" s="3" t="s">
        <v>246</v>
      </c>
      <c r="O149" s="3">
        <v>20</v>
      </c>
      <c r="P149" s="3">
        <v>8.9</v>
      </c>
      <c r="Q149" s="3">
        <v>31</v>
      </c>
      <c r="R149" s="2" t="s">
        <v>37</v>
      </c>
      <c r="S149" s="3">
        <v>62.3</v>
      </c>
      <c r="T149" s="3">
        <v>2.12</v>
      </c>
      <c r="U149" s="3">
        <v>0.55000000000000004</v>
      </c>
      <c r="V149" s="3">
        <f>30*62.3/1000</f>
        <v>1.869</v>
      </c>
      <c r="W149" s="3" t="s">
        <v>47</v>
      </c>
      <c r="X149" s="3">
        <v>200</v>
      </c>
      <c r="Y149" s="7">
        <v>41640</v>
      </c>
      <c r="Z149" s="3" t="s">
        <v>38</v>
      </c>
      <c r="AF149" s="3" t="s">
        <v>217</v>
      </c>
    </row>
    <row r="150" spans="1:45">
      <c r="A150" s="3">
        <v>97.1</v>
      </c>
      <c r="B150" s="3" t="s">
        <v>243</v>
      </c>
      <c r="C150" s="3" t="s">
        <v>244</v>
      </c>
      <c r="D150" s="3" t="s">
        <v>72</v>
      </c>
      <c r="F150" s="1" t="s">
        <v>82</v>
      </c>
      <c r="G150" s="3" t="s">
        <v>248</v>
      </c>
      <c r="H150" s="11">
        <v>41392</v>
      </c>
      <c r="I150" s="9">
        <v>0.4236111111111111</v>
      </c>
      <c r="J150" s="3">
        <v>28</v>
      </c>
      <c r="K150" s="3">
        <v>28.6</v>
      </c>
      <c r="L150" s="3">
        <v>35.5</v>
      </c>
      <c r="M150" s="3">
        <v>10</v>
      </c>
      <c r="N150" s="3" t="s">
        <v>246</v>
      </c>
      <c r="O150" s="20">
        <v>20</v>
      </c>
      <c r="P150" s="3">
        <v>5.8</v>
      </c>
      <c r="Q150" s="3">
        <v>14.4</v>
      </c>
      <c r="R150" s="2" t="s">
        <v>37</v>
      </c>
      <c r="S150" s="3">
        <v>61</v>
      </c>
      <c r="T150" s="3">
        <v>2.17</v>
      </c>
      <c r="U150" s="3">
        <v>0.6</v>
      </c>
      <c r="V150" s="3">
        <f>61*30/1000</f>
        <v>1.83</v>
      </c>
      <c r="W150" s="3" t="s">
        <v>47</v>
      </c>
      <c r="X150" s="3">
        <v>200</v>
      </c>
      <c r="Y150" s="7">
        <v>41640</v>
      </c>
      <c r="Z150" s="3">
        <v>41.2</v>
      </c>
      <c r="AA150" s="3">
        <v>1.84</v>
      </c>
      <c r="AB150" s="3">
        <v>0.23</v>
      </c>
      <c r="AC150" s="3">
        <f>41.285*50/1000</f>
        <v>2.0642499999999999</v>
      </c>
      <c r="AD150" s="3" t="s">
        <v>44</v>
      </c>
      <c r="AE150" s="3">
        <f>V150/AC150</f>
        <v>0.88652052803681736</v>
      </c>
      <c r="AF150" s="3" t="s">
        <v>217</v>
      </c>
    </row>
    <row r="151" spans="1:45">
      <c r="A151" s="3">
        <v>98.1</v>
      </c>
      <c r="B151" s="3" t="s">
        <v>243</v>
      </c>
      <c r="C151" s="3" t="s">
        <v>244</v>
      </c>
      <c r="D151" s="3">
        <v>-18.904299999999999</v>
      </c>
      <c r="E151" s="3">
        <v>-159.7236</v>
      </c>
      <c r="F151" s="1" t="s">
        <v>82</v>
      </c>
      <c r="G151" s="3" t="s">
        <v>249</v>
      </c>
      <c r="H151" s="11">
        <v>41392</v>
      </c>
      <c r="I151" s="9">
        <v>0.42708333333333331</v>
      </c>
      <c r="J151" s="3">
        <v>28</v>
      </c>
      <c r="K151" s="3">
        <v>28.6</v>
      </c>
      <c r="L151" s="3">
        <v>35.5</v>
      </c>
      <c r="M151" s="3">
        <v>10.5</v>
      </c>
      <c r="N151" s="3" t="s">
        <v>221</v>
      </c>
      <c r="O151" s="20">
        <v>25</v>
      </c>
      <c r="P151" s="3">
        <v>8.6999999999999993</v>
      </c>
      <c r="Q151" s="3">
        <v>39.799999999999997</v>
      </c>
      <c r="R151" s="2" t="s">
        <v>37</v>
      </c>
    </row>
    <row r="152" spans="1:45">
      <c r="A152" s="3">
        <v>98.2</v>
      </c>
      <c r="B152" s="3" t="s">
        <v>243</v>
      </c>
      <c r="C152" s="3" t="s">
        <v>244</v>
      </c>
      <c r="D152" s="3">
        <v>-18.904299999999999</v>
      </c>
      <c r="E152" s="3">
        <v>-159.7236</v>
      </c>
      <c r="F152" s="1" t="s">
        <v>82</v>
      </c>
      <c r="G152" s="3" t="s">
        <v>249</v>
      </c>
      <c r="H152" s="11">
        <v>41392</v>
      </c>
      <c r="I152" s="9">
        <v>0.42708333333333331</v>
      </c>
      <c r="J152" s="3">
        <v>28</v>
      </c>
      <c r="K152" s="3">
        <v>28.6</v>
      </c>
      <c r="L152" s="3">
        <v>35.5</v>
      </c>
      <c r="M152" s="3">
        <v>10.5</v>
      </c>
      <c r="N152" s="3" t="s">
        <v>221</v>
      </c>
      <c r="O152" s="20">
        <v>25</v>
      </c>
      <c r="P152" s="3">
        <v>8.6999999999999993</v>
      </c>
      <c r="Q152" s="3">
        <v>39.799999999999997</v>
      </c>
      <c r="R152" s="2" t="s">
        <v>37</v>
      </c>
      <c r="S152" s="3">
        <v>26.6</v>
      </c>
      <c r="T152" s="3">
        <v>2.1</v>
      </c>
      <c r="U152" s="3">
        <v>0.73</v>
      </c>
      <c r="V152" s="3">
        <f>26.6*30/1000</f>
        <v>0.79800000000000004</v>
      </c>
      <c r="W152" s="3" t="s">
        <v>60</v>
      </c>
      <c r="X152" s="3">
        <v>200</v>
      </c>
      <c r="Y152" s="7">
        <v>41640</v>
      </c>
      <c r="Z152" s="3">
        <v>51.5</v>
      </c>
      <c r="AA152" s="3">
        <v>1.92</v>
      </c>
      <c r="AB152" s="3">
        <v>1.19</v>
      </c>
      <c r="AC152" s="3">
        <f>51.5*50/1000</f>
        <v>2.5750000000000002</v>
      </c>
      <c r="AD152" s="3" t="s">
        <v>44</v>
      </c>
      <c r="AE152" s="3">
        <f>V152/AC152</f>
        <v>0.30990291262135922</v>
      </c>
      <c r="AF152" s="3" t="s">
        <v>217</v>
      </c>
      <c r="AI152" s="3" t="s">
        <v>126</v>
      </c>
    </row>
    <row r="153" spans="1:45">
      <c r="B153" s="3" t="s">
        <v>243</v>
      </c>
      <c r="C153" s="3" t="s">
        <v>250</v>
      </c>
      <c r="D153" s="3">
        <v>-18.8184</v>
      </c>
      <c r="E153" s="3">
        <v>-159.77350000000001</v>
      </c>
      <c r="F153" s="2" t="s">
        <v>251</v>
      </c>
      <c r="H153" s="11">
        <v>41392</v>
      </c>
      <c r="K153" s="3">
        <v>28.6</v>
      </c>
      <c r="L153" s="3">
        <v>35.5</v>
      </c>
    </row>
    <row r="154" spans="1:45">
      <c r="A154" s="3">
        <v>99.1</v>
      </c>
      <c r="B154" s="3" t="s">
        <v>243</v>
      </c>
      <c r="C154" s="3" t="s">
        <v>252</v>
      </c>
      <c r="D154" s="3">
        <v>-18.889700000000001</v>
      </c>
      <c r="E154" s="3">
        <v>-159.8272</v>
      </c>
      <c r="F154" s="1" t="s">
        <v>82</v>
      </c>
      <c r="G154" s="3" t="s">
        <v>253</v>
      </c>
      <c r="H154" s="11">
        <v>41393</v>
      </c>
      <c r="I154" s="9">
        <v>0.43055555555555558</v>
      </c>
      <c r="J154" s="3">
        <v>27</v>
      </c>
      <c r="K154" s="3">
        <v>28.4</v>
      </c>
      <c r="L154" s="3">
        <v>35.5</v>
      </c>
      <c r="M154" s="3">
        <v>5</v>
      </c>
      <c r="N154" s="3" t="s">
        <v>254</v>
      </c>
      <c r="O154" s="3">
        <v>30</v>
      </c>
      <c r="P154" s="3">
        <v>4.3</v>
      </c>
      <c r="Q154" s="3">
        <v>8.9</v>
      </c>
      <c r="R154" s="2" t="s">
        <v>37</v>
      </c>
      <c r="S154" s="3">
        <v>43.5</v>
      </c>
      <c r="T154" s="3">
        <v>2.19</v>
      </c>
      <c r="U154" s="3">
        <v>0.49</v>
      </c>
      <c r="V154" s="3">
        <f>43.5*30/1000</f>
        <v>1.3049999999999999</v>
      </c>
      <c r="W154" s="3" t="s">
        <v>47</v>
      </c>
      <c r="X154" s="3">
        <v>200</v>
      </c>
      <c r="Y154" s="7">
        <v>41640</v>
      </c>
      <c r="Z154" s="3">
        <v>49.8</v>
      </c>
      <c r="AA154" s="3">
        <v>1.93</v>
      </c>
      <c r="AB154" s="3">
        <v>0.34</v>
      </c>
      <c r="AC154" s="3">
        <f>50*49.8/1000</f>
        <v>2.4900000000000002</v>
      </c>
      <c r="AD154" s="3" t="s">
        <v>44</v>
      </c>
      <c r="AE154" s="3">
        <f>V154/AC154</f>
        <v>0.52409638554216864</v>
      </c>
      <c r="AF154" s="3" t="s">
        <v>217</v>
      </c>
      <c r="AI154" s="3" t="s">
        <v>255</v>
      </c>
    </row>
    <row r="155" spans="1:45">
      <c r="A155" s="3">
        <v>100.1</v>
      </c>
      <c r="B155" s="3" t="s">
        <v>243</v>
      </c>
      <c r="C155" s="3" t="s">
        <v>256</v>
      </c>
      <c r="D155" s="3">
        <v>-18.8672</v>
      </c>
      <c r="E155" s="3">
        <v>-159.81880000000001</v>
      </c>
      <c r="F155" s="1" t="s">
        <v>82</v>
      </c>
      <c r="G155" s="3" t="s">
        <v>257</v>
      </c>
      <c r="H155" s="11">
        <v>41393</v>
      </c>
      <c r="I155" s="9">
        <v>0.5</v>
      </c>
      <c r="J155" s="3" t="s">
        <v>42</v>
      </c>
      <c r="K155" s="3">
        <v>28.4</v>
      </c>
      <c r="L155" s="3">
        <v>35.5</v>
      </c>
      <c r="M155" s="3">
        <v>10</v>
      </c>
      <c r="N155" s="3" t="s">
        <v>254</v>
      </c>
      <c r="O155" s="3">
        <v>30</v>
      </c>
      <c r="P155" s="3">
        <v>3.2</v>
      </c>
      <c r="Q155" s="3">
        <v>4.7</v>
      </c>
      <c r="R155" s="2" t="s">
        <v>37</v>
      </c>
      <c r="S155" s="3" t="s">
        <v>18</v>
      </c>
      <c r="T155" s="3" t="s">
        <v>19</v>
      </c>
      <c r="U155" s="3" t="s">
        <v>20</v>
      </c>
      <c r="V155" s="3" t="s">
        <v>21</v>
      </c>
      <c r="W155" s="3" t="s">
        <v>22</v>
      </c>
      <c r="X155" s="3" t="s">
        <v>23</v>
      </c>
      <c r="Y155" s="3" t="s">
        <v>7</v>
      </c>
      <c r="Z155" s="3" t="s">
        <v>24</v>
      </c>
      <c r="AA155" s="3" t="s">
        <v>19</v>
      </c>
      <c r="AB155" s="3" t="s">
        <v>20</v>
      </c>
      <c r="AC155" s="3" t="s">
        <v>25</v>
      </c>
      <c r="AD155" s="3" t="s">
        <v>22</v>
      </c>
      <c r="AF155" s="3" t="s">
        <v>27</v>
      </c>
      <c r="AG155" s="3" t="s">
        <v>28</v>
      </c>
      <c r="AH155" s="3" t="s">
        <v>29</v>
      </c>
      <c r="AI155" s="3" t="s">
        <v>30</v>
      </c>
      <c r="AJ155" s="3" t="s">
        <v>31</v>
      </c>
      <c r="AK155" s="3" t="s">
        <v>6</v>
      </c>
    </row>
    <row r="156" spans="1:45">
      <c r="A156" s="3">
        <v>100.2</v>
      </c>
      <c r="B156" s="3" t="s">
        <v>243</v>
      </c>
      <c r="C156" s="3" t="s">
        <v>256</v>
      </c>
      <c r="D156" s="3">
        <v>-18.8672</v>
      </c>
      <c r="E156" s="3">
        <v>-159.81880000000001</v>
      </c>
      <c r="F156" s="1" t="s">
        <v>82</v>
      </c>
      <c r="G156" s="3" t="s">
        <v>257</v>
      </c>
      <c r="H156" s="11">
        <v>41393</v>
      </c>
      <c r="I156" s="9">
        <v>0.5</v>
      </c>
      <c r="J156" s="3" t="s">
        <v>42</v>
      </c>
      <c r="K156" s="3">
        <v>28.4</v>
      </c>
      <c r="L156" s="3">
        <v>35.5</v>
      </c>
      <c r="M156" s="3">
        <v>10</v>
      </c>
      <c r="N156" s="3" t="s">
        <v>254</v>
      </c>
      <c r="O156" s="3">
        <v>30</v>
      </c>
      <c r="P156" s="3">
        <v>3.2</v>
      </c>
      <c r="Q156" s="3">
        <v>4.7</v>
      </c>
      <c r="R156" s="2" t="s">
        <v>37</v>
      </c>
      <c r="S156" s="3">
        <v>52.3</v>
      </c>
      <c r="T156" s="3">
        <v>2.12</v>
      </c>
      <c r="U156" s="3">
        <v>0.63</v>
      </c>
      <c r="V156" s="3">
        <f>30*52.3/1000</f>
        <v>1.569</v>
      </c>
      <c r="W156" s="3" t="s">
        <v>47</v>
      </c>
      <c r="X156" s="3">
        <v>200</v>
      </c>
      <c r="Y156" s="7">
        <v>41640</v>
      </c>
      <c r="Z156" s="3">
        <v>47.7</v>
      </c>
      <c r="AA156" s="3">
        <v>1.95</v>
      </c>
      <c r="AB156" s="3">
        <v>0.37</v>
      </c>
      <c r="AC156" s="3">
        <f>50*Z156/1000</f>
        <v>2.3849999999999998</v>
      </c>
      <c r="AD156" s="3" t="s">
        <v>44</v>
      </c>
      <c r="AE156" s="3">
        <f>V156/AC156</f>
        <v>0.65786163522012586</v>
      </c>
      <c r="AF156" s="3" t="s">
        <v>217</v>
      </c>
    </row>
    <row r="157" spans="1:45">
      <c r="A157" s="3">
        <v>101.1</v>
      </c>
      <c r="B157" s="3" t="s">
        <v>243</v>
      </c>
      <c r="C157" s="3" t="s">
        <v>256</v>
      </c>
      <c r="D157" s="3">
        <v>-18.8672</v>
      </c>
      <c r="E157" s="3">
        <v>-159.81880000000001</v>
      </c>
      <c r="F157" s="1" t="s">
        <v>82</v>
      </c>
      <c r="G157" s="3" t="s">
        <v>258</v>
      </c>
      <c r="H157" s="11">
        <v>41393</v>
      </c>
      <c r="I157" s="9">
        <v>0.51041666666666663</v>
      </c>
      <c r="J157" s="3" t="s">
        <v>42</v>
      </c>
      <c r="K157" s="3">
        <v>28.4</v>
      </c>
      <c r="L157" s="3">
        <v>35.5</v>
      </c>
      <c r="M157" s="3">
        <v>6.5</v>
      </c>
      <c r="N157" s="3" t="s">
        <v>254</v>
      </c>
      <c r="O157" s="3">
        <v>25</v>
      </c>
      <c r="P157" s="3">
        <v>5.6</v>
      </c>
      <c r="Q157" s="3">
        <v>8</v>
      </c>
      <c r="R157" s="2" t="s">
        <v>37</v>
      </c>
      <c r="S157" s="3">
        <v>17.5</v>
      </c>
      <c r="T157" s="3">
        <v>1.94</v>
      </c>
      <c r="U157" s="3">
        <v>0.54</v>
      </c>
      <c r="V157" s="3">
        <f>S157*30/1000</f>
        <v>0.52500000000000002</v>
      </c>
      <c r="W157" s="3" t="s">
        <v>64</v>
      </c>
      <c r="X157" s="3">
        <v>175</v>
      </c>
      <c r="Y157" s="7">
        <v>41518</v>
      </c>
      <c r="Z157" s="3">
        <v>92</v>
      </c>
      <c r="AA157" s="3">
        <v>1.79</v>
      </c>
      <c r="AB157" s="3">
        <v>4.12</v>
      </c>
      <c r="AC157" s="3">
        <f>Z157*50/1000</f>
        <v>4.5999999999999996</v>
      </c>
      <c r="AD157" s="3" t="s">
        <v>44</v>
      </c>
      <c r="AE157" s="3">
        <f>V157/AC157</f>
        <v>0.1141304347826087</v>
      </c>
      <c r="AF157" s="3">
        <v>0.77200000000000002</v>
      </c>
      <c r="AG157" s="3">
        <f>(AF157-0.8069)/-0.0071</f>
        <v>4.9154929577464692</v>
      </c>
      <c r="AH157" s="3">
        <f>AG157/20*1000</f>
        <v>245.77464788732345</v>
      </c>
      <c r="AI157" s="3">
        <f>AH157*150*2/1000</f>
        <v>73.732394366197042</v>
      </c>
      <c r="AJ157" s="3">
        <f>20000/AH157</f>
        <v>81.375358166189272</v>
      </c>
      <c r="AK157" s="3" t="s">
        <v>259</v>
      </c>
      <c r="AS157" s="3" t="s">
        <v>260</v>
      </c>
    </row>
    <row r="158" spans="1:45">
      <c r="A158" s="3">
        <v>101.2</v>
      </c>
      <c r="B158" s="3" t="s">
        <v>243</v>
      </c>
      <c r="C158" s="3" t="s">
        <v>256</v>
      </c>
      <c r="D158" s="3">
        <v>-18.8672</v>
      </c>
      <c r="E158" s="3">
        <v>-159.81880000000001</v>
      </c>
      <c r="F158" s="1" t="s">
        <v>82</v>
      </c>
      <c r="G158" s="3" t="s">
        <v>258</v>
      </c>
      <c r="H158" s="11">
        <v>41393</v>
      </c>
      <c r="I158" s="9">
        <v>0.51041666666666663</v>
      </c>
      <c r="J158" s="3" t="s">
        <v>42</v>
      </c>
      <c r="K158" s="3">
        <v>28.4</v>
      </c>
      <c r="L158" s="3">
        <v>35.5</v>
      </c>
      <c r="M158" s="3">
        <v>6.5</v>
      </c>
      <c r="N158" s="3" t="s">
        <v>254</v>
      </c>
      <c r="O158" s="3">
        <v>25</v>
      </c>
      <c r="P158" s="3">
        <v>5.6</v>
      </c>
      <c r="Q158" s="3">
        <v>8</v>
      </c>
      <c r="R158" s="2" t="s">
        <v>37</v>
      </c>
      <c r="S158" s="3">
        <v>40.799999999999997</v>
      </c>
      <c r="T158" s="3">
        <v>2.14</v>
      </c>
      <c r="U158" s="3">
        <v>1.7</v>
      </c>
      <c r="V158" s="3">
        <f>40.8*30/1000</f>
        <v>1.224</v>
      </c>
      <c r="W158" s="3" t="s">
        <v>47</v>
      </c>
      <c r="X158" s="3">
        <v>200</v>
      </c>
      <c r="Y158" s="7">
        <v>41609</v>
      </c>
      <c r="Z158" s="3" t="s">
        <v>79</v>
      </c>
      <c r="AF158" s="3" t="s">
        <v>79</v>
      </c>
    </row>
    <row r="159" spans="1:45">
      <c r="A159" s="3">
        <v>102</v>
      </c>
      <c r="B159" s="3" t="s">
        <v>243</v>
      </c>
      <c r="C159" s="3" t="s">
        <v>261</v>
      </c>
      <c r="D159" s="3">
        <v>-18.833100000000002</v>
      </c>
      <c r="E159" s="3">
        <v>-159.79409999999999</v>
      </c>
      <c r="F159" s="1" t="s">
        <v>82</v>
      </c>
      <c r="G159" s="3" t="s">
        <v>262</v>
      </c>
      <c r="H159" s="11">
        <v>41394</v>
      </c>
      <c r="I159" s="9">
        <v>0.375</v>
      </c>
      <c r="J159" s="3" t="s">
        <v>42</v>
      </c>
      <c r="K159" s="3">
        <v>28.4</v>
      </c>
      <c r="L159" s="3">
        <v>35.299999999999997</v>
      </c>
      <c r="M159" s="3">
        <v>15</v>
      </c>
      <c r="N159" s="3" t="s">
        <v>254</v>
      </c>
      <c r="O159" s="3">
        <v>25</v>
      </c>
      <c r="P159" s="3">
        <v>3.5</v>
      </c>
      <c r="Q159" s="3">
        <v>3.1</v>
      </c>
      <c r="R159" s="2" t="s">
        <v>37</v>
      </c>
      <c r="S159" s="3">
        <v>22.8</v>
      </c>
      <c r="T159" s="3">
        <v>2.0699999999999998</v>
      </c>
      <c r="U159" s="3">
        <v>0.35</v>
      </c>
      <c r="V159" s="3">
        <f t="shared" ref="V159:V167" si="3">S159*30/1000</f>
        <v>0.68400000000000005</v>
      </c>
      <c r="W159" s="3" t="s">
        <v>64</v>
      </c>
      <c r="X159" s="3">
        <v>228</v>
      </c>
      <c r="Y159" s="7">
        <v>41518</v>
      </c>
      <c r="Z159" s="3">
        <v>61</v>
      </c>
      <c r="AA159" s="3">
        <v>1.63</v>
      </c>
      <c r="AB159" s="3">
        <v>2.5299999999999998</v>
      </c>
      <c r="AC159" s="3">
        <f t="shared" ref="AC159:AC167" si="4">Z159*50/1000</f>
        <v>3.05</v>
      </c>
      <c r="AD159" s="3" t="s">
        <v>44</v>
      </c>
      <c r="AE159" s="3">
        <f>V159/AC159</f>
        <v>0.22426229508196724</v>
      </c>
      <c r="AF159" s="3">
        <v>0.85199999999999998</v>
      </c>
      <c r="AG159" s="3">
        <v>0</v>
      </c>
      <c r="AH159" s="3">
        <v>0</v>
      </c>
      <c r="AI159" s="3">
        <v>0</v>
      </c>
      <c r="AJ159" s="3" t="s">
        <v>42</v>
      </c>
      <c r="AK159" s="3" t="s">
        <v>259</v>
      </c>
    </row>
    <row r="160" spans="1:45">
      <c r="A160" s="3">
        <v>103.1</v>
      </c>
      <c r="B160" s="3" t="s">
        <v>243</v>
      </c>
      <c r="C160" s="3" t="s">
        <v>261</v>
      </c>
      <c r="D160" s="3">
        <v>-18.833100000000002</v>
      </c>
      <c r="E160" s="3">
        <v>-159.79409999999999</v>
      </c>
      <c r="F160" s="1" t="s">
        <v>82</v>
      </c>
      <c r="G160" s="3" t="s">
        <v>263</v>
      </c>
      <c r="H160" s="11">
        <v>41394</v>
      </c>
      <c r="I160" s="9">
        <v>0.39583333333333331</v>
      </c>
      <c r="J160" s="3" t="s">
        <v>42</v>
      </c>
      <c r="K160" s="3">
        <v>28.4</v>
      </c>
      <c r="L160" s="3">
        <v>35.299999999999997</v>
      </c>
      <c r="M160" s="3">
        <v>15</v>
      </c>
      <c r="N160" s="3" t="s">
        <v>254</v>
      </c>
      <c r="O160" s="3">
        <v>30</v>
      </c>
      <c r="P160" s="3">
        <v>2.6</v>
      </c>
      <c r="Q160" s="3">
        <v>3.8</v>
      </c>
      <c r="R160" s="2" t="s">
        <v>37</v>
      </c>
      <c r="S160" s="3">
        <v>19</v>
      </c>
      <c r="T160" s="3">
        <v>1.94</v>
      </c>
      <c r="U160" s="3">
        <v>0.45</v>
      </c>
      <c r="V160" s="3">
        <f t="shared" si="3"/>
        <v>0.56999999999999995</v>
      </c>
      <c r="W160" s="3" t="s">
        <v>64</v>
      </c>
      <c r="X160" s="3">
        <v>190</v>
      </c>
      <c r="Y160" s="7">
        <v>41518</v>
      </c>
      <c r="Z160" s="3">
        <v>80.5</v>
      </c>
      <c r="AA160" s="3">
        <v>1.76</v>
      </c>
      <c r="AB160" s="3">
        <v>3.59</v>
      </c>
      <c r="AC160" s="3">
        <f t="shared" si="4"/>
        <v>4.0250000000000004</v>
      </c>
      <c r="AD160" s="3" t="s">
        <v>44</v>
      </c>
      <c r="AE160" s="3">
        <f>V160/AC160</f>
        <v>0.1416149068322981</v>
      </c>
      <c r="AF160" s="3">
        <v>0.76800000000000002</v>
      </c>
      <c r="AG160" s="3">
        <f>(0.768-0.8069)/-0.0071</f>
        <v>5.4788732394366102</v>
      </c>
      <c r="AH160" s="3">
        <f>AG160/20*1000</f>
        <v>273.94366197183052</v>
      </c>
      <c r="AI160" s="3">
        <f>AH160*150*2/1000</f>
        <v>82.183098591549168</v>
      </c>
      <c r="AJ160" s="3">
        <f>20000/AH160</f>
        <v>73.00771208226233</v>
      </c>
      <c r="AK160" s="3" t="s">
        <v>264</v>
      </c>
      <c r="AR160" s="3" t="s">
        <v>265</v>
      </c>
    </row>
    <row r="161" spans="1:42">
      <c r="A161" s="3">
        <v>103.2</v>
      </c>
      <c r="B161" s="3" t="s">
        <v>243</v>
      </c>
      <c r="C161" s="3" t="s">
        <v>261</v>
      </c>
      <c r="D161" s="3">
        <v>-18.833100000000002</v>
      </c>
      <c r="E161" s="3">
        <v>-159.79409999999999</v>
      </c>
      <c r="F161" s="1" t="s">
        <v>82</v>
      </c>
      <c r="G161" s="3" t="s">
        <v>263</v>
      </c>
      <c r="H161" s="11">
        <v>41394</v>
      </c>
      <c r="I161" s="9">
        <v>0.39583333333333331</v>
      </c>
      <c r="J161" s="3" t="s">
        <v>42</v>
      </c>
      <c r="K161" s="3">
        <v>28.4</v>
      </c>
      <c r="L161" s="3">
        <v>35.299999999999997</v>
      </c>
      <c r="M161" s="3">
        <v>15</v>
      </c>
      <c r="N161" s="3" t="s">
        <v>254</v>
      </c>
      <c r="O161" s="3">
        <v>30</v>
      </c>
      <c r="P161" s="3">
        <v>2.6</v>
      </c>
      <c r="Q161" s="3">
        <v>3.8</v>
      </c>
      <c r="R161" s="2" t="s">
        <v>37</v>
      </c>
      <c r="S161" s="3">
        <v>32.200000000000003</v>
      </c>
      <c r="T161" s="3">
        <v>2.14</v>
      </c>
      <c r="U161" s="3">
        <v>0.36</v>
      </c>
      <c r="V161" s="3">
        <f>32.2*30/1000</f>
        <v>0.96600000000000008</v>
      </c>
      <c r="W161" s="3" t="s">
        <v>47</v>
      </c>
      <c r="X161" s="3">
        <v>200</v>
      </c>
      <c r="Y161" s="7">
        <v>41609</v>
      </c>
      <c r="Z161" s="3" t="s">
        <v>38</v>
      </c>
      <c r="AF161" s="3" t="s">
        <v>79</v>
      </c>
      <c r="AK161" s="3" t="s">
        <v>126</v>
      </c>
    </row>
    <row r="162" spans="1:42">
      <c r="A162" s="3" t="s">
        <v>266</v>
      </c>
      <c r="B162" s="3" t="s">
        <v>243</v>
      </c>
      <c r="C162" s="3" t="s">
        <v>267</v>
      </c>
      <c r="D162" s="3">
        <v>-18.917300000000001</v>
      </c>
      <c r="E162" s="3">
        <v>-159.84520000000001</v>
      </c>
      <c r="F162" s="1" t="s">
        <v>82</v>
      </c>
      <c r="G162" s="3" t="s">
        <v>268</v>
      </c>
      <c r="H162" s="11">
        <v>41394</v>
      </c>
      <c r="I162" s="9">
        <v>0.46875</v>
      </c>
      <c r="J162" s="3" t="s">
        <v>42</v>
      </c>
      <c r="K162" s="3">
        <v>28.3</v>
      </c>
      <c r="L162" s="3">
        <v>35.4</v>
      </c>
      <c r="M162" s="3">
        <v>14.5</v>
      </c>
      <c r="N162" s="3" t="s">
        <v>254</v>
      </c>
      <c r="O162" s="3">
        <v>30</v>
      </c>
      <c r="P162" s="3">
        <v>4.4000000000000004</v>
      </c>
      <c r="Q162" s="3">
        <v>9.9</v>
      </c>
      <c r="R162" s="2" t="s">
        <v>37</v>
      </c>
      <c r="S162" s="3">
        <v>118</v>
      </c>
      <c r="T162" s="3">
        <v>2.15</v>
      </c>
      <c r="U162" s="3">
        <v>1.6</v>
      </c>
      <c r="V162" s="3">
        <f>118*30/1000</f>
        <v>3.54</v>
      </c>
      <c r="W162" s="3" t="s">
        <v>47</v>
      </c>
      <c r="X162" s="3">
        <v>200</v>
      </c>
      <c r="Y162" s="7">
        <v>41609</v>
      </c>
      <c r="Z162" s="3">
        <v>7.6</v>
      </c>
      <c r="AA162" s="3">
        <v>1.8</v>
      </c>
      <c r="AB162" s="3">
        <v>0.18</v>
      </c>
      <c r="AC162" s="3">
        <f>7.6*50/1000</f>
        <v>0.38</v>
      </c>
      <c r="AD162" s="3" t="s">
        <v>269</v>
      </c>
      <c r="AE162" s="3">
        <f>V162/AC162</f>
        <v>9.3157894736842106</v>
      </c>
      <c r="AF162" s="3" t="s">
        <v>79</v>
      </c>
    </row>
    <row r="163" spans="1:42">
      <c r="A163" s="3">
        <v>105.1</v>
      </c>
      <c r="B163" s="3" t="s">
        <v>243</v>
      </c>
      <c r="C163" s="3" t="s">
        <v>270</v>
      </c>
      <c r="D163" s="3">
        <v>-18.851700000000001</v>
      </c>
      <c r="E163" s="3">
        <v>-159.80539999999999</v>
      </c>
      <c r="F163" s="1" t="s">
        <v>82</v>
      </c>
      <c r="G163" s="3" t="s">
        <v>262</v>
      </c>
      <c r="H163" s="11">
        <v>41394</v>
      </c>
      <c r="I163" s="9">
        <v>0.67361111111111116</v>
      </c>
      <c r="J163" s="3">
        <v>28</v>
      </c>
      <c r="K163" s="3">
        <v>27.7</v>
      </c>
      <c r="L163" s="3">
        <v>35.4</v>
      </c>
      <c r="M163" s="3">
        <v>12</v>
      </c>
      <c r="N163" s="3" t="s">
        <v>271</v>
      </c>
      <c r="O163" s="3">
        <v>5</v>
      </c>
      <c r="P163" s="3">
        <v>4.7</v>
      </c>
      <c r="Q163" s="3">
        <v>10.1</v>
      </c>
      <c r="R163" s="2" t="s">
        <v>37</v>
      </c>
      <c r="S163" s="3">
        <v>12</v>
      </c>
      <c r="T163" s="3">
        <v>1.67</v>
      </c>
      <c r="U163" s="3">
        <v>0.4</v>
      </c>
      <c r="V163" s="3">
        <f t="shared" si="3"/>
        <v>0.36</v>
      </c>
      <c r="W163" s="3" t="s">
        <v>64</v>
      </c>
      <c r="X163" s="3">
        <v>120</v>
      </c>
      <c r="Y163" s="7">
        <v>41518</v>
      </c>
      <c r="Z163" s="3">
        <v>39</v>
      </c>
      <c r="AA163" s="3">
        <v>1.78</v>
      </c>
      <c r="AB163" s="3">
        <v>11.1</v>
      </c>
      <c r="AC163" s="3">
        <f t="shared" si="4"/>
        <v>1.95</v>
      </c>
      <c r="AD163" s="3" t="s">
        <v>44</v>
      </c>
      <c r="AE163" s="3">
        <f>V163/AC163</f>
        <v>0.18461538461538463</v>
      </c>
      <c r="AF163" s="3">
        <v>0.80700000000000005</v>
      </c>
      <c r="AG163" s="3">
        <v>0</v>
      </c>
      <c r="AJ163" s="3" t="s">
        <v>42</v>
      </c>
      <c r="AK163" s="3" t="s">
        <v>272</v>
      </c>
    </row>
    <row r="164" spans="1:42">
      <c r="A164" s="3">
        <v>105.2</v>
      </c>
      <c r="B164" s="3" t="s">
        <v>243</v>
      </c>
      <c r="C164" s="3" t="s">
        <v>270</v>
      </c>
      <c r="D164" s="3">
        <v>-18.851700000000001</v>
      </c>
      <c r="E164" s="3">
        <v>-159.80539999999999</v>
      </c>
      <c r="F164" s="1" t="s">
        <v>82</v>
      </c>
      <c r="G164" s="3" t="s">
        <v>262</v>
      </c>
      <c r="H164" s="11">
        <v>41394</v>
      </c>
      <c r="I164" s="9">
        <v>0.67361111111111116</v>
      </c>
      <c r="J164" s="3">
        <v>28</v>
      </c>
      <c r="K164" s="3">
        <v>27.7</v>
      </c>
      <c r="L164" s="3">
        <v>35.4</v>
      </c>
      <c r="M164" s="3">
        <v>12</v>
      </c>
      <c r="N164" s="3" t="s">
        <v>271</v>
      </c>
      <c r="O164" s="3">
        <v>5</v>
      </c>
      <c r="P164" s="3">
        <v>4.7</v>
      </c>
      <c r="Q164" s="3">
        <v>10.1</v>
      </c>
      <c r="R164" s="2" t="s">
        <v>37</v>
      </c>
      <c r="Y164" s="7"/>
      <c r="AF164" s="20">
        <f>AVERAGE(AE165:AE166)</f>
        <v>0.34459459459459457</v>
      </c>
    </row>
    <row r="165" spans="1:42">
      <c r="A165" s="3">
        <v>106.1</v>
      </c>
      <c r="B165" s="3" t="s">
        <v>243</v>
      </c>
      <c r="C165" s="3" t="s">
        <v>273</v>
      </c>
      <c r="D165" s="3">
        <v>-18.9283</v>
      </c>
      <c r="E165" s="3">
        <v>-159.79429999999999</v>
      </c>
      <c r="F165" s="1" t="s">
        <v>129</v>
      </c>
      <c r="G165" s="3" t="s">
        <v>274</v>
      </c>
      <c r="H165" s="11">
        <v>41395</v>
      </c>
      <c r="I165" s="9">
        <v>0.39583333333333331</v>
      </c>
      <c r="J165" s="3">
        <v>28</v>
      </c>
      <c r="K165" s="3">
        <v>28.2</v>
      </c>
      <c r="L165" s="3">
        <v>35.5</v>
      </c>
      <c r="M165" s="3">
        <v>11</v>
      </c>
      <c r="N165" s="3" t="s">
        <v>275</v>
      </c>
      <c r="O165" s="3">
        <v>40</v>
      </c>
      <c r="P165" s="3">
        <v>16.899999999999999</v>
      </c>
      <c r="Q165" s="3">
        <v>142</v>
      </c>
      <c r="R165" s="2" t="s">
        <v>37</v>
      </c>
      <c r="S165" s="3">
        <v>16.5</v>
      </c>
      <c r="T165" s="3">
        <v>1.79</v>
      </c>
      <c r="U165" s="3">
        <v>0.65</v>
      </c>
      <c r="V165" s="3">
        <f t="shared" si="3"/>
        <v>0.495</v>
      </c>
      <c r="W165" s="3" t="s">
        <v>64</v>
      </c>
      <c r="X165" s="3">
        <v>165</v>
      </c>
      <c r="Y165" s="7">
        <v>41518</v>
      </c>
      <c r="Z165" s="3">
        <v>111</v>
      </c>
      <c r="AA165" s="3">
        <v>1.77</v>
      </c>
      <c r="AB165" s="3">
        <v>2.2799999999999998</v>
      </c>
      <c r="AC165" s="3">
        <f t="shared" si="4"/>
        <v>5.55</v>
      </c>
      <c r="AD165" s="3" t="s">
        <v>44</v>
      </c>
      <c r="AE165" s="3">
        <f>V165/AC165</f>
        <v>8.9189189189189194E-2</v>
      </c>
      <c r="AF165" s="3">
        <v>0.79100000000000004</v>
      </c>
      <c r="AG165" s="3">
        <f>(0.791-0.8069)/-0.0071</f>
        <v>2.2394366197182975</v>
      </c>
      <c r="AH165" s="3">
        <f>AG165/20*1000</f>
        <v>111.97183098591488</v>
      </c>
      <c r="AI165" s="3">
        <f>AH165*150*2/1000</f>
        <v>33.591549295774463</v>
      </c>
      <c r="AJ165" s="3" t="s">
        <v>276</v>
      </c>
      <c r="AK165" s="3" t="s">
        <v>277</v>
      </c>
    </row>
    <row r="166" spans="1:42">
      <c r="A166" s="3">
        <v>106.2</v>
      </c>
      <c r="B166" s="3" t="s">
        <v>243</v>
      </c>
      <c r="C166" s="3" t="s">
        <v>273</v>
      </c>
      <c r="D166" s="3">
        <v>-18.9283</v>
      </c>
      <c r="E166" s="3">
        <v>-159.79429999999999</v>
      </c>
      <c r="F166" s="1" t="s">
        <v>129</v>
      </c>
      <c r="G166" s="3" t="s">
        <v>274</v>
      </c>
      <c r="H166" s="11">
        <v>41395</v>
      </c>
      <c r="I166" s="9">
        <v>0.39583333333333331</v>
      </c>
      <c r="J166" s="3">
        <v>28</v>
      </c>
      <c r="K166" s="3">
        <v>28.2</v>
      </c>
      <c r="L166" s="3">
        <v>35.5</v>
      </c>
      <c r="M166" s="3">
        <v>11</v>
      </c>
      <c r="N166" s="3" t="s">
        <v>275</v>
      </c>
      <c r="O166" s="3">
        <v>40</v>
      </c>
      <c r="P166" s="3">
        <v>16.899999999999999</v>
      </c>
      <c r="Q166" s="3">
        <v>142</v>
      </c>
      <c r="R166" s="2" t="s">
        <v>37</v>
      </c>
      <c r="S166" s="3">
        <v>27.6</v>
      </c>
      <c r="T166" s="3">
        <v>2.2000000000000002</v>
      </c>
      <c r="U166" s="3">
        <v>1.32</v>
      </c>
      <c r="V166" s="3">
        <f>27.6*30/1000</f>
        <v>0.82799999999999996</v>
      </c>
      <c r="W166" s="3" t="s">
        <v>47</v>
      </c>
      <c r="X166" s="3">
        <v>200</v>
      </c>
      <c r="Y166" s="7">
        <v>41609</v>
      </c>
      <c r="Z166" s="3">
        <v>46</v>
      </c>
      <c r="AA166" s="3">
        <v>2.0299999999999998</v>
      </c>
      <c r="AB166" s="3">
        <v>1.4</v>
      </c>
      <c r="AC166" s="3">
        <f>46*30/1000</f>
        <v>1.38</v>
      </c>
      <c r="AD166" s="3" t="s">
        <v>44</v>
      </c>
      <c r="AE166" s="3">
        <f>V166/AC166</f>
        <v>0.6</v>
      </c>
      <c r="AF166" s="3" t="s">
        <v>79</v>
      </c>
    </row>
    <row r="167" spans="1:42">
      <c r="A167" s="3">
        <v>107.1</v>
      </c>
      <c r="B167" s="3" t="s">
        <v>243</v>
      </c>
      <c r="C167" s="3" t="s">
        <v>273</v>
      </c>
      <c r="D167" s="3">
        <v>-18.9283</v>
      </c>
      <c r="E167" s="3">
        <v>-159.79429999999999</v>
      </c>
      <c r="F167" s="1" t="s">
        <v>82</v>
      </c>
      <c r="H167" s="11">
        <v>41395</v>
      </c>
      <c r="I167" s="9">
        <v>0.40625</v>
      </c>
      <c r="J167" s="3">
        <v>28</v>
      </c>
      <c r="K167" s="3">
        <v>28.2</v>
      </c>
      <c r="L167" s="3">
        <v>35.5</v>
      </c>
      <c r="M167" s="3">
        <v>8</v>
      </c>
      <c r="N167" s="3" t="s">
        <v>275</v>
      </c>
      <c r="O167" s="3">
        <v>40</v>
      </c>
      <c r="P167" s="3">
        <v>3.8</v>
      </c>
      <c r="Q167" s="3">
        <v>7.1</v>
      </c>
      <c r="R167" s="2" t="s">
        <v>37</v>
      </c>
      <c r="S167" s="3">
        <v>11</v>
      </c>
      <c r="T167" s="3">
        <v>1.71</v>
      </c>
      <c r="U167" s="3">
        <v>0.25</v>
      </c>
      <c r="V167" s="3">
        <f t="shared" si="3"/>
        <v>0.33</v>
      </c>
      <c r="W167" s="3" t="s">
        <v>64</v>
      </c>
      <c r="X167" s="3">
        <v>110</v>
      </c>
      <c r="Y167" s="7">
        <v>41518</v>
      </c>
      <c r="Z167" s="3">
        <v>56</v>
      </c>
      <c r="AA167" s="3">
        <v>1.8</v>
      </c>
      <c r="AB167" s="3">
        <v>1.22</v>
      </c>
      <c r="AC167" s="3">
        <f t="shared" si="4"/>
        <v>2.8</v>
      </c>
      <c r="AD167" s="3" t="s">
        <v>44</v>
      </c>
      <c r="AE167" s="3">
        <f>V167/AC167</f>
        <v>0.11785714285714287</v>
      </c>
      <c r="AF167" s="3">
        <v>0.753</v>
      </c>
      <c r="AG167" s="3">
        <f>(0.753-0.8069)/-0.0071</f>
        <v>7.59154929577464</v>
      </c>
      <c r="AH167" s="3">
        <f>AG167/20*1000</f>
        <v>379.57746478873202</v>
      </c>
      <c r="AI167" s="3">
        <f>AH167*150*2/1000</f>
        <v>113.87323943661961</v>
      </c>
      <c r="AJ167" s="3">
        <f>20000/AH167</f>
        <v>52.690166975881311</v>
      </c>
      <c r="AK167" s="3" t="s">
        <v>278</v>
      </c>
    </row>
    <row r="168" spans="1:42">
      <c r="A168" s="3">
        <v>107.2</v>
      </c>
      <c r="B168" s="3" t="s">
        <v>243</v>
      </c>
      <c r="C168" s="3" t="s">
        <v>273</v>
      </c>
      <c r="D168" s="3">
        <v>-18.9283</v>
      </c>
      <c r="E168" s="3">
        <v>-159.79429999999999</v>
      </c>
      <c r="F168" s="1" t="s">
        <v>82</v>
      </c>
      <c r="H168" s="11">
        <v>41395</v>
      </c>
      <c r="I168" s="9">
        <v>0.40625</v>
      </c>
      <c r="J168" s="3">
        <v>28</v>
      </c>
      <c r="K168" s="3">
        <v>28.2</v>
      </c>
      <c r="L168" s="3">
        <v>35.5</v>
      </c>
      <c r="M168" s="3">
        <v>8</v>
      </c>
      <c r="N168" s="3" t="s">
        <v>275</v>
      </c>
      <c r="O168" s="3">
        <v>40</v>
      </c>
      <c r="P168" s="3">
        <v>3.8</v>
      </c>
      <c r="Q168" s="3">
        <v>7.1</v>
      </c>
      <c r="R168" s="2" t="s">
        <v>37</v>
      </c>
      <c r="S168" s="3">
        <v>57.2</v>
      </c>
      <c r="T168" s="3">
        <v>2.11</v>
      </c>
      <c r="U168" s="3">
        <v>1.58</v>
      </c>
      <c r="V168" s="3">
        <f>57.2*30/1000</f>
        <v>1.716</v>
      </c>
      <c r="W168" s="3" t="s">
        <v>47</v>
      </c>
      <c r="X168" s="3">
        <v>200</v>
      </c>
      <c r="Y168" s="7">
        <v>41609</v>
      </c>
      <c r="Z168" s="3">
        <v>84</v>
      </c>
      <c r="AA168" s="3">
        <v>2.0099999999999998</v>
      </c>
      <c r="AB168" s="3">
        <v>0.4</v>
      </c>
      <c r="AC168" s="3">
        <f>84*50/1000</f>
        <v>4.2</v>
      </c>
      <c r="AD168" s="3" t="s">
        <v>44</v>
      </c>
      <c r="AE168" s="3">
        <f>V168/AC168</f>
        <v>0.40857142857142853</v>
      </c>
      <c r="AF168" s="3" t="s">
        <v>79</v>
      </c>
    </row>
    <row r="169" spans="1:42">
      <c r="B169" s="3" t="s">
        <v>243</v>
      </c>
      <c r="C169" s="3" t="s">
        <v>279</v>
      </c>
      <c r="D169" s="3">
        <v>-18.951899999999998</v>
      </c>
      <c r="E169" s="3">
        <v>-159.74449999999999</v>
      </c>
      <c r="F169" s="2" t="s">
        <v>280</v>
      </c>
      <c r="H169" s="11">
        <v>41395</v>
      </c>
      <c r="I169" s="9"/>
      <c r="K169" s="3">
        <v>28.2</v>
      </c>
      <c r="L169" s="3">
        <v>35.5</v>
      </c>
      <c r="R169" s="2"/>
      <c r="AE169" s="3">
        <f>AVERAGE(AE167:AE168)</f>
        <v>0.26321428571428568</v>
      </c>
    </row>
    <row r="170" spans="1:42" s="12" customFormat="1">
      <c r="A170" s="12">
        <v>108.2</v>
      </c>
      <c r="B170" s="12" t="s">
        <v>243</v>
      </c>
      <c r="C170" s="12" t="s">
        <v>281</v>
      </c>
      <c r="D170" s="12">
        <v>-18.927099999999999</v>
      </c>
      <c r="E170" s="12">
        <v>-159.72499999999999</v>
      </c>
      <c r="F170" s="18" t="s">
        <v>161</v>
      </c>
      <c r="H170" s="35">
        <v>41395</v>
      </c>
      <c r="I170" s="36">
        <v>0.64374999999999993</v>
      </c>
      <c r="J170" s="12">
        <v>28</v>
      </c>
      <c r="K170" s="12">
        <v>28.3</v>
      </c>
      <c r="L170" s="12">
        <v>35.1</v>
      </c>
      <c r="M170" s="12">
        <v>13</v>
      </c>
      <c r="N170" s="12" t="s">
        <v>282</v>
      </c>
      <c r="O170" s="12">
        <v>25</v>
      </c>
      <c r="P170" s="12">
        <v>3.6</v>
      </c>
      <c r="Q170" s="12">
        <v>6.8</v>
      </c>
      <c r="R170" s="18" t="s">
        <v>37</v>
      </c>
    </row>
    <row r="171" spans="1:42" s="21" customFormat="1">
      <c r="A171" s="21">
        <v>108.1</v>
      </c>
      <c r="B171" s="21" t="s">
        <v>243</v>
      </c>
      <c r="C171" s="21" t="s">
        <v>281</v>
      </c>
      <c r="D171" s="21">
        <v>-18.927099999999999</v>
      </c>
      <c r="E171" s="21">
        <v>-159.72499999999999</v>
      </c>
      <c r="F171" s="21" t="s">
        <v>70</v>
      </c>
      <c r="G171" s="21" t="s">
        <v>283</v>
      </c>
      <c r="H171" s="22">
        <v>41395</v>
      </c>
      <c r="I171" s="23">
        <v>0.64374999999999993</v>
      </c>
      <c r="J171" s="21">
        <v>28</v>
      </c>
      <c r="K171" s="21">
        <v>28.3</v>
      </c>
      <c r="L171" s="21">
        <v>35.1</v>
      </c>
      <c r="M171" s="21">
        <v>13</v>
      </c>
      <c r="N171" s="21" t="s">
        <v>282</v>
      </c>
      <c r="O171" s="21">
        <v>25</v>
      </c>
      <c r="P171" s="21">
        <v>3.6</v>
      </c>
      <c r="Q171" s="21">
        <v>6.8</v>
      </c>
      <c r="R171" s="19" t="s">
        <v>37</v>
      </c>
      <c r="S171" s="21" t="s">
        <v>38</v>
      </c>
      <c r="T171" s="21" t="s">
        <v>284</v>
      </c>
      <c r="Z171" s="21" t="s">
        <v>38</v>
      </c>
      <c r="AD171" s="21" t="s">
        <v>64</v>
      </c>
      <c r="AF171" s="21">
        <v>0.82299999999999995</v>
      </c>
      <c r="AG171" s="21">
        <f>(AF171-0.854)/-0.0077</f>
        <v>4.0259740259740298</v>
      </c>
      <c r="AH171" s="21">
        <f>AG171/20*1000</f>
        <v>201.29870129870147</v>
      </c>
      <c r="AI171" s="21">
        <f>AH171*100*2/1000</f>
        <v>40.259740259740298</v>
      </c>
      <c r="AJ171" s="21">
        <f>20000/AH171</f>
        <v>99.354838709677338</v>
      </c>
      <c r="AK171" s="21" t="s">
        <v>285</v>
      </c>
      <c r="AP171" s="21" t="s">
        <v>286</v>
      </c>
    </row>
    <row r="172" spans="1:42">
      <c r="A172" s="3">
        <v>109.1</v>
      </c>
      <c r="B172" s="3" t="s">
        <v>287</v>
      </c>
      <c r="C172" s="3" t="s">
        <v>288</v>
      </c>
      <c r="D172" s="3">
        <v>-17.992599999999999</v>
      </c>
      <c r="E172" s="3">
        <v>-163.15350000000001</v>
      </c>
      <c r="F172" s="1" t="s">
        <v>82</v>
      </c>
      <c r="G172" s="3" t="s">
        <v>289</v>
      </c>
      <c r="H172" s="11">
        <v>41397</v>
      </c>
      <c r="I172" s="9">
        <v>0.41666666666666669</v>
      </c>
      <c r="J172" s="3">
        <v>28</v>
      </c>
      <c r="K172" s="3">
        <v>27.9</v>
      </c>
      <c r="L172" s="3">
        <v>35.5</v>
      </c>
      <c r="M172" s="3">
        <v>8</v>
      </c>
      <c r="N172" s="3" t="s">
        <v>128</v>
      </c>
      <c r="O172" s="3">
        <v>20</v>
      </c>
      <c r="P172" s="3">
        <v>5.2</v>
      </c>
      <c r="Q172" s="3">
        <v>16.8</v>
      </c>
      <c r="R172" s="2" t="s">
        <v>37</v>
      </c>
      <c r="S172" s="3" t="s">
        <v>38</v>
      </c>
      <c r="T172" s="3" t="s">
        <v>290</v>
      </c>
      <c r="Z172" s="3">
        <v>14.5</v>
      </c>
      <c r="AA172" s="3">
        <v>2.39</v>
      </c>
      <c r="AB172" s="3">
        <v>0.54</v>
      </c>
      <c r="AC172" s="3">
        <f>14.5*50/1000</f>
        <v>0.72499999999999998</v>
      </c>
      <c r="AD172" s="3" t="s">
        <v>64</v>
      </c>
      <c r="AF172" s="3">
        <v>0.79700000000000004</v>
      </c>
      <c r="AG172" s="3">
        <f t="shared" ref="AG172:AG179" si="5">(AF172-0.854)/-0.0077</f>
        <v>7.4025974025973946</v>
      </c>
      <c r="AH172" s="3">
        <f t="shared" ref="AH172:AH190" si="6">AG172/20*1000</f>
        <v>370.12987012986974</v>
      </c>
      <c r="AI172" s="3">
        <f t="shared" ref="AI172:AI192" si="7">AH172*100*2/1000</f>
        <v>74.025974025973952</v>
      </c>
      <c r="AJ172" s="3">
        <f t="shared" ref="AJ172:AJ188" si="8">20000/AH172</f>
        <v>54.035087719298303</v>
      </c>
      <c r="AK172" s="3" t="s">
        <v>291</v>
      </c>
    </row>
    <row r="173" spans="1:42">
      <c r="A173" s="3">
        <v>109.2</v>
      </c>
      <c r="B173" s="3" t="s">
        <v>287</v>
      </c>
      <c r="C173" s="3" t="s">
        <v>288</v>
      </c>
      <c r="D173" s="3">
        <v>-17.992599999999999</v>
      </c>
      <c r="E173" s="3">
        <v>-163.15350000000001</v>
      </c>
      <c r="F173" s="1" t="s">
        <v>82</v>
      </c>
      <c r="G173" s="3" t="s">
        <v>289</v>
      </c>
      <c r="H173" s="11">
        <v>41397</v>
      </c>
      <c r="I173" s="9">
        <v>0.41666666666666669</v>
      </c>
      <c r="J173" s="3">
        <v>28</v>
      </c>
      <c r="K173" s="3">
        <v>27.9</v>
      </c>
      <c r="L173" s="3">
        <v>35.5</v>
      </c>
      <c r="M173" s="3">
        <v>8</v>
      </c>
      <c r="N173" s="3" t="s">
        <v>128</v>
      </c>
      <c r="O173" s="3">
        <v>20</v>
      </c>
      <c r="P173" s="3">
        <v>5.2</v>
      </c>
      <c r="Q173" s="3">
        <v>16.8</v>
      </c>
      <c r="R173" s="2" t="s">
        <v>37</v>
      </c>
      <c r="S173" s="3">
        <v>112</v>
      </c>
      <c r="T173" s="3">
        <v>2.15</v>
      </c>
      <c r="U173" s="3">
        <v>1.1599999999999999</v>
      </c>
      <c r="V173" s="3">
        <f>30*112/1000</f>
        <v>3.36</v>
      </c>
      <c r="W173" s="3" t="s">
        <v>47</v>
      </c>
      <c r="X173" s="3">
        <v>200</v>
      </c>
      <c r="Y173" s="7">
        <v>41609</v>
      </c>
      <c r="Z173" s="3">
        <v>61.7</v>
      </c>
      <c r="AA173" s="3">
        <v>1.7</v>
      </c>
      <c r="AB173" s="3">
        <v>1.17</v>
      </c>
      <c r="AC173" s="3">
        <f>61.7*50/1000</f>
        <v>3.085</v>
      </c>
      <c r="AD173" s="3" t="s">
        <v>44</v>
      </c>
      <c r="AE173" s="3">
        <f>V173/AC173</f>
        <v>1.0891410048622365</v>
      </c>
      <c r="AF173" s="3" t="s">
        <v>79</v>
      </c>
    </row>
    <row r="174" spans="1:42">
      <c r="A174" s="3">
        <v>110.1</v>
      </c>
      <c r="B174" s="3" t="s">
        <v>287</v>
      </c>
      <c r="C174" s="3" t="s">
        <v>288</v>
      </c>
      <c r="D174" s="3">
        <v>-17.992599999999999</v>
      </c>
      <c r="E174" s="3">
        <v>-163.15350000000001</v>
      </c>
      <c r="F174" s="1" t="s">
        <v>82</v>
      </c>
      <c r="G174" s="3" t="s">
        <v>223</v>
      </c>
      <c r="H174" s="11">
        <v>41397</v>
      </c>
      <c r="I174" s="9">
        <v>0.43055555555555558</v>
      </c>
      <c r="J174" s="3">
        <v>28</v>
      </c>
      <c r="K174" s="3">
        <v>27.9</v>
      </c>
      <c r="L174" s="3">
        <v>35.5</v>
      </c>
      <c r="M174" s="3">
        <v>6.5</v>
      </c>
      <c r="N174" s="3" t="s">
        <v>128</v>
      </c>
      <c r="O174" s="3">
        <v>10</v>
      </c>
      <c r="P174" s="3">
        <v>6.7</v>
      </c>
      <c r="Q174" s="3">
        <v>29</v>
      </c>
      <c r="R174" s="2" t="s">
        <v>37</v>
      </c>
      <c r="S174" s="3" t="s">
        <v>38</v>
      </c>
      <c r="T174" s="3" t="s">
        <v>290</v>
      </c>
      <c r="Z174" s="3" t="s">
        <v>38</v>
      </c>
      <c r="AD174" s="3" t="s">
        <v>64</v>
      </c>
      <c r="AF174" s="3">
        <v>0.71799999999999997</v>
      </c>
      <c r="AG174" s="3">
        <f t="shared" si="5"/>
        <v>17.662337662337663</v>
      </c>
      <c r="AH174" s="40">
        <f t="shared" si="6"/>
        <v>883.11688311688317</v>
      </c>
      <c r="AI174" s="3">
        <f t="shared" si="7"/>
        <v>176.62337662337663</v>
      </c>
      <c r="AJ174" s="40">
        <f t="shared" si="8"/>
        <v>22.647058823529409</v>
      </c>
      <c r="AK174" s="3" t="s">
        <v>183</v>
      </c>
      <c r="AO174" s="3" t="s">
        <v>292</v>
      </c>
    </row>
    <row r="175" spans="1:42">
      <c r="A175" s="3">
        <v>110.2</v>
      </c>
      <c r="B175" s="3" t="s">
        <v>287</v>
      </c>
      <c r="C175" s="3" t="s">
        <v>288</v>
      </c>
      <c r="D175" s="3">
        <v>-17.992599999999999</v>
      </c>
      <c r="E175" s="3">
        <v>-163.15350000000001</v>
      </c>
      <c r="F175" s="1" t="s">
        <v>82</v>
      </c>
      <c r="G175" s="3" t="s">
        <v>223</v>
      </c>
      <c r="H175" s="11">
        <v>41397</v>
      </c>
      <c r="I175" s="9">
        <v>0.43055555555555558</v>
      </c>
      <c r="J175" s="3">
        <v>28</v>
      </c>
      <c r="K175" s="3">
        <v>27.9</v>
      </c>
      <c r="L175" s="3">
        <v>35.5</v>
      </c>
      <c r="M175" s="3">
        <v>6.5</v>
      </c>
      <c r="N175" s="3" t="s">
        <v>128</v>
      </c>
      <c r="O175" s="3">
        <v>10</v>
      </c>
      <c r="P175" s="3">
        <v>6.7</v>
      </c>
      <c r="Q175" s="3">
        <v>29</v>
      </c>
      <c r="R175" s="2" t="s">
        <v>37</v>
      </c>
      <c r="S175" s="3">
        <v>135.69999999999999</v>
      </c>
      <c r="T175" s="3">
        <v>2.21</v>
      </c>
      <c r="U175" s="3">
        <v>1.62</v>
      </c>
      <c r="V175" s="3">
        <f>135.7*30/1000</f>
        <v>4.0709999999999997</v>
      </c>
      <c r="W175" s="3" t="s">
        <v>47</v>
      </c>
      <c r="X175" s="3">
        <v>200</v>
      </c>
      <c r="Y175" s="7">
        <v>41609</v>
      </c>
      <c r="Z175" s="3">
        <v>91.9</v>
      </c>
      <c r="AA175" s="3">
        <v>1.98</v>
      </c>
      <c r="AB175" s="3">
        <v>1.51</v>
      </c>
      <c r="AC175" s="3">
        <f>91.9*50/1000</f>
        <v>4.5949999999999998</v>
      </c>
      <c r="AD175" s="3" t="s">
        <v>44</v>
      </c>
      <c r="AE175" s="3">
        <f>V175/AC175</f>
        <v>0.88596300326441779</v>
      </c>
      <c r="AF175" s="3" t="s">
        <v>79</v>
      </c>
      <c r="AH175" s="40"/>
      <c r="AJ175" s="40"/>
    </row>
    <row r="176" spans="1:42">
      <c r="A176" s="3">
        <v>111.1</v>
      </c>
      <c r="B176" s="3" t="s">
        <v>287</v>
      </c>
      <c r="C176" s="3" t="s">
        <v>293</v>
      </c>
      <c r="D176" s="3">
        <v>-18.0291</v>
      </c>
      <c r="E176" s="3">
        <v>-163.11779999999999</v>
      </c>
      <c r="F176" s="1" t="s">
        <v>146</v>
      </c>
      <c r="G176" s="3" t="s">
        <v>294</v>
      </c>
      <c r="H176" s="11">
        <v>41397</v>
      </c>
      <c r="I176" s="9">
        <v>0.5</v>
      </c>
      <c r="J176" s="3">
        <v>28</v>
      </c>
      <c r="K176" s="3">
        <v>28</v>
      </c>
      <c r="L176" s="3">
        <v>35.5</v>
      </c>
      <c r="M176" s="3">
        <v>14</v>
      </c>
      <c r="N176" s="3" t="s">
        <v>128</v>
      </c>
      <c r="O176" s="3">
        <v>25</v>
      </c>
      <c r="P176" s="3">
        <v>3.9</v>
      </c>
      <c r="Q176" s="3">
        <v>6.6</v>
      </c>
      <c r="R176" s="2" t="s">
        <v>37</v>
      </c>
      <c r="S176" s="3" t="s">
        <v>38</v>
      </c>
      <c r="T176" s="3" t="s">
        <v>295</v>
      </c>
      <c r="Z176" s="3">
        <v>100</v>
      </c>
      <c r="AA176" s="3">
        <v>1.88</v>
      </c>
      <c r="AB176" s="3">
        <v>0.68</v>
      </c>
      <c r="AC176" s="3">
        <f>100*50/1000</f>
        <v>5</v>
      </c>
      <c r="AD176" s="3" t="s">
        <v>44</v>
      </c>
      <c r="AF176" s="3">
        <v>0.70599999999999996</v>
      </c>
      <c r="AG176" s="3">
        <f>(AF176-0.854)/-0.0077</f>
        <v>19.220779220779225</v>
      </c>
      <c r="AH176" s="40">
        <f>AG176/20*1000</f>
        <v>961.03896103896125</v>
      </c>
      <c r="AI176" s="3">
        <f>AH176*100*2/1000</f>
        <v>192.20779220779227</v>
      </c>
      <c r="AJ176" s="40">
        <f>20000/AH176</f>
        <v>20.810810810810807</v>
      </c>
      <c r="AK176" s="3" t="s">
        <v>296</v>
      </c>
      <c r="AO176" s="3" t="s">
        <v>292</v>
      </c>
    </row>
    <row r="177" spans="1:46">
      <c r="A177" s="3">
        <v>111.2</v>
      </c>
      <c r="B177" s="3" t="s">
        <v>91</v>
      </c>
      <c r="C177" s="3" t="s">
        <v>293</v>
      </c>
      <c r="D177" s="3">
        <v>-18.0291</v>
      </c>
      <c r="E177" s="3">
        <v>-163.11779999999999</v>
      </c>
      <c r="F177" s="1" t="s">
        <v>146</v>
      </c>
      <c r="G177" s="3" t="s">
        <v>294</v>
      </c>
      <c r="H177" s="11">
        <v>41397</v>
      </c>
      <c r="I177" s="9">
        <v>0.5</v>
      </c>
      <c r="J177" s="3">
        <v>28</v>
      </c>
      <c r="K177" s="3">
        <v>28</v>
      </c>
      <c r="L177" s="3">
        <v>35.5</v>
      </c>
      <c r="M177" s="3">
        <v>14</v>
      </c>
      <c r="N177" s="3" t="s">
        <v>128</v>
      </c>
      <c r="O177" s="3">
        <v>25</v>
      </c>
      <c r="P177" s="3">
        <v>3.9</v>
      </c>
      <c r="Q177" s="3">
        <v>6.6</v>
      </c>
      <c r="R177" s="2" t="s">
        <v>37</v>
      </c>
      <c r="Y177" s="8">
        <v>41609</v>
      </c>
      <c r="AH177" s="40"/>
      <c r="AJ177" s="40"/>
    </row>
    <row r="178" spans="1:46">
      <c r="A178" s="3">
        <v>112.1</v>
      </c>
      <c r="B178" s="3" t="s">
        <v>287</v>
      </c>
      <c r="C178" s="3" t="s">
        <v>297</v>
      </c>
      <c r="D178" s="3">
        <v>-18.0489</v>
      </c>
      <c r="E178" s="3">
        <v>-163.11279999999999</v>
      </c>
      <c r="F178" s="1" t="s">
        <v>82</v>
      </c>
      <c r="G178" s="3" t="s">
        <v>298</v>
      </c>
      <c r="H178" s="11">
        <v>41397</v>
      </c>
      <c r="I178" s="9">
        <v>0.65625</v>
      </c>
      <c r="J178" s="3">
        <v>28</v>
      </c>
      <c r="K178" s="3">
        <v>28.2</v>
      </c>
      <c r="L178" s="3">
        <v>35.5</v>
      </c>
      <c r="M178" s="3">
        <v>11</v>
      </c>
      <c r="N178" s="3" t="s">
        <v>128</v>
      </c>
      <c r="O178" s="3">
        <v>40</v>
      </c>
      <c r="P178" s="3">
        <v>8.6999999999999993</v>
      </c>
      <c r="Q178" s="3">
        <v>39.200000000000003</v>
      </c>
      <c r="R178" s="2" t="s">
        <v>37</v>
      </c>
      <c r="S178" s="3">
        <v>53</v>
      </c>
      <c r="T178" s="3">
        <v>2.1</v>
      </c>
      <c r="U178" s="3">
        <v>0.36</v>
      </c>
      <c r="V178" s="3">
        <f>53*30/1000</f>
        <v>1.59</v>
      </c>
      <c r="W178" s="3" t="s">
        <v>47</v>
      </c>
      <c r="X178" s="3">
        <v>200</v>
      </c>
      <c r="Y178" s="7">
        <v>41518</v>
      </c>
      <c r="Z178" s="3">
        <v>86</v>
      </c>
      <c r="AA178" s="3">
        <v>1.84</v>
      </c>
      <c r="AB178" s="3">
        <v>1.58</v>
      </c>
      <c r="AC178" s="3">
        <f>86*50/1000</f>
        <v>4.3</v>
      </c>
      <c r="AD178" s="3" t="s">
        <v>44</v>
      </c>
      <c r="AE178" s="3">
        <f>V178/AC178</f>
        <v>0.36976744186046517</v>
      </c>
      <c r="AF178" s="3">
        <v>0.77500000000000002</v>
      </c>
      <c r="AG178" s="3">
        <f t="shared" si="5"/>
        <v>10.259740259740255</v>
      </c>
      <c r="AH178" s="3">
        <f t="shared" si="6"/>
        <v>512.9870129870128</v>
      </c>
      <c r="AI178" s="3">
        <f t="shared" si="7"/>
        <v>102.59740259740256</v>
      </c>
      <c r="AJ178" s="3">
        <f t="shared" si="8"/>
        <v>38.987341772151915</v>
      </c>
      <c r="AK178" s="3" t="s">
        <v>299</v>
      </c>
    </row>
    <row r="179" spans="1:46">
      <c r="A179" s="3">
        <v>113.1</v>
      </c>
      <c r="B179" s="3" t="s">
        <v>287</v>
      </c>
      <c r="C179" s="3" t="s">
        <v>297</v>
      </c>
      <c r="D179" s="3">
        <v>-18.0489</v>
      </c>
      <c r="E179" s="3">
        <v>-163.11279999999999</v>
      </c>
      <c r="F179" s="1" t="s">
        <v>129</v>
      </c>
      <c r="G179" s="3" t="s">
        <v>300</v>
      </c>
      <c r="H179" s="11">
        <v>41397</v>
      </c>
      <c r="I179" s="9">
        <v>0.66666666666666663</v>
      </c>
      <c r="J179" s="3">
        <v>28</v>
      </c>
      <c r="K179" s="3">
        <v>28.2</v>
      </c>
      <c r="L179" s="3">
        <v>35.5</v>
      </c>
      <c r="M179" s="3">
        <v>12</v>
      </c>
      <c r="N179" s="15" t="s">
        <v>128</v>
      </c>
      <c r="O179" s="3">
        <v>40</v>
      </c>
      <c r="Q179" s="3" t="s">
        <v>239</v>
      </c>
      <c r="R179" s="2" t="s">
        <v>37</v>
      </c>
      <c r="S179" s="12">
        <v>29.5</v>
      </c>
      <c r="T179" s="12">
        <v>2.35</v>
      </c>
      <c r="U179" s="12">
        <v>0.19</v>
      </c>
      <c r="V179" s="12">
        <f>29.5*30/1000</f>
        <v>0.88500000000000001</v>
      </c>
      <c r="W179" s="12" t="s">
        <v>47</v>
      </c>
      <c r="X179" s="12">
        <v>200</v>
      </c>
      <c r="Y179" s="8">
        <v>41518</v>
      </c>
      <c r="Z179" s="12">
        <v>139</v>
      </c>
      <c r="AA179" s="12">
        <v>1.8</v>
      </c>
      <c r="AB179" s="12">
        <v>1.73</v>
      </c>
      <c r="AC179" s="12">
        <f>139*50/1000</f>
        <v>6.95</v>
      </c>
      <c r="AD179" s="12" t="s">
        <v>44</v>
      </c>
      <c r="AE179" s="12">
        <f>V179/AC179</f>
        <v>0.12733812949640289</v>
      </c>
      <c r="AF179" s="12">
        <v>0.75</v>
      </c>
      <c r="AG179" s="12">
        <f t="shared" si="5"/>
        <v>13.506493506493504</v>
      </c>
      <c r="AH179" s="24">
        <f t="shared" si="6"/>
        <v>675.32467532467524</v>
      </c>
      <c r="AI179" s="12">
        <f t="shared" si="7"/>
        <v>135.06493506493504</v>
      </c>
      <c r="AJ179" s="24">
        <f t="shared" si="8"/>
        <v>29.61538461538462</v>
      </c>
      <c r="AK179" s="37" t="s">
        <v>296</v>
      </c>
      <c r="AL179" s="12"/>
      <c r="AM179" s="12"/>
      <c r="AN179" s="12"/>
      <c r="AO179" s="12" t="s">
        <v>292</v>
      </c>
      <c r="AP179" s="12"/>
      <c r="AQ179" s="12"/>
      <c r="AR179" s="12"/>
      <c r="AS179" s="12"/>
      <c r="AT179" s="12"/>
    </row>
    <row r="180" spans="1:46">
      <c r="A180" s="3">
        <v>113.2</v>
      </c>
      <c r="B180" s="3" t="s">
        <v>287</v>
      </c>
      <c r="C180" s="3" t="s">
        <v>297</v>
      </c>
      <c r="D180" s="3">
        <v>-18.0489</v>
      </c>
      <c r="E180" s="3">
        <v>-163.11279999999999</v>
      </c>
      <c r="F180" s="1" t="s">
        <v>129</v>
      </c>
      <c r="G180" s="3" t="s">
        <v>300</v>
      </c>
      <c r="H180" s="11">
        <v>41397</v>
      </c>
      <c r="I180" s="9">
        <v>0.66666666666666663</v>
      </c>
      <c r="J180" s="3">
        <v>28</v>
      </c>
      <c r="K180" s="3">
        <v>28.2</v>
      </c>
      <c r="L180" s="3">
        <v>35.5</v>
      </c>
      <c r="M180" s="3">
        <v>12</v>
      </c>
      <c r="N180" s="15" t="s">
        <v>128</v>
      </c>
      <c r="O180" s="3">
        <v>40</v>
      </c>
      <c r="Q180" s="3" t="s">
        <v>239</v>
      </c>
      <c r="R180" s="2" t="s">
        <v>37</v>
      </c>
      <c r="S180" s="12">
        <v>17.2</v>
      </c>
      <c r="T180" s="12">
        <v>2.0299999999999998</v>
      </c>
      <c r="U180" s="12">
        <v>0.97</v>
      </c>
      <c r="V180" s="12">
        <f>17.2*30/1000</f>
        <v>0.51600000000000001</v>
      </c>
      <c r="W180" s="12" t="s">
        <v>64</v>
      </c>
      <c r="X180" s="12">
        <v>172</v>
      </c>
      <c r="Y180" s="8">
        <v>41609</v>
      </c>
      <c r="Z180" s="12">
        <v>94</v>
      </c>
      <c r="AA180" s="12">
        <v>2.02</v>
      </c>
      <c r="AB180" s="12">
        <v>0.45</v>
      </c>
      <c r="AC180" s="12">
        <f>94*50/1000</f>
        <v>4.7</v>
      </c>
      <c r="AD180" s="12" t="s">
        <v>44</v>
      </c>
      <c r="AE180" s="12">
        <f>V180/AC180</f>
        <v>0.10978723404255319</v>
      </c>
      <c r="AF180" s="12" t="s">
        <v>79</v>
      </c>
      <c r="AG180" s="12"/>
      <c r="AH180" s="24"/>
      <c r="AI180" s="12"/>
      <c r="AJ180" s="24"/>
      <c r="AK180" s="37"/>
      <c r="AL180" s="12"/>
      <c r="AM180" s="12"/>
      <c r="AN180" s="12"/>
      <c r="AO180" s="12"/>
      <c r="AP180" s="12"/>
      <c r="AQ180" s="12"/>
      <c r="AR180" s="12"/>
      <c r="AS180" s="12"/>
      <c r="AT180" s="12"/>
    </row>
    <row r="181" spans="1:46">
      <c r="A181" s="3">
        <v>114.1</v>
      </c>
      <c r="B181" s="3" t="s">
        <v>287</v>
      </c>
      <c r="C181" s="3" t="s">
        <v>301</v>
      </c>
      <c r="D181" s="3">
        <v>-18.0885</v>
      </c>
      <c r="E181" s="3">
        <v>-163.15209999999999</v>
      </c>
      <c r="F181" s="1" t="s">
        <v>146</v>
      </c>
      <c r="G181" s="3" t="s">
        <v>302</v>
      </c>
      <c r="H181" s="11">
        <v>41398</v>
      </c>
      <c r="I181" s="9">
        <v>0.39097222222222222</v>
      </c>
      <c r="J181" s="3">
        <v>28</v>
      </c>
      <c r="K181" s="3">
        <v>28</v>
      </c>
      <c r="L181" s="3">
        <v>35.5</v>
      </c>
      <c r="M181" s="3">
        <v>12</v>
      </c>
      <c r="N181" s="15" t="s">
        <v>128</v>
      </c>
      <c r="O181" s="3">
        <v>40</v>
      </c>
      <c r="P181" s="3">
        <v>10.7</v>
      </c>
      <c r="Q181" s="3">
        <v>50.2</v>
      </c>
      <c r="R181" s="2" t="s">
        <v>37</v>
      </c>
      <c r="S181" s="12">
        <v>39</v>
      </c>
      <c r="T181" s="12">
        <v>1.82</v>
      </c>
      <c r="U181" s="12">
        <v>0.42</v>
      </c>
      <c r="V181" s="12">
        <f>S181*30/1000</f>
        <v>1.17</v>
      </c>
      <c r="W181" s="12" t="s">
        <v>64</v>
      </c>
      <c r="X181" s="12" t="s">
        <v>42</v>
      </c>
      <c r="Y181" s="8">
        <v>41518</v>
      </c>
      <c r="Z181" s="12">
        <v>58.5</v>
      </c>
      <c r="AA181" s="12">
        <v>1.89</v>
      </c>
      <c r="AB181" s="12">
        <v>1.45</v>
      </c>
      <c r="AC181" s="12">
        <f>Z181*50/1000</f>
        <v>2.9249999999999998</v>
      </c>
      <c r="AD181" s="12" t="s">
        <v>44</v>
      </c>
      <c r="AE181" s="12">
        <f>V181/AC181</f>
        <v>0.4</v>
      </c>
      <c r="AF181" s="12">
        <v>0.45100000000000001</v>
      </c>
      <c r="AG181" s="12">
        <f>(AF181-0.859)/-0.0088</f>
        <v>46.36363636363636</v>
      </c>
      <c r="AH181" s="24">
        <f>AG181/20*1000</f>
        <v>2318.181818181818</v>
      </c>
      <c r="AI181" s="12">
        <f>AH181*100*2/1000</f>
        <v>463.63636363636357</v>
      </c>
      <c r="AJ181" s="24">
        <f t="shared" si="8"/>
        <v>8.6274509803921582</v>
      </c>
      <c r="AK181" s="12" t="s">
        <v>303</v>
      </c>
      <c r="AL181" s="12"/>
      <c r="AM181" s="12"/>
      <c r="AN181" s="12" t="s">
        <v>304</v>
      </c>
      <c r="AO181" s="12"/>
      <c r="AP181" s="12" t="s">
        <v>305</v>
      </c>
      <c r="AQ181" s="12"/>
      <c r="AR181" s="12"/>
      <c r="AS181" s="12"/>
      <c r="AT181" s="12"/>
    </row>
    <row r="182" spans="1:46">
      <c r="A182" s="3">
        <v>114.2</v>
      </c>
      <c r="B182" s="3" t="s">
        <v>287</v>
      </c>
      <c r="C182" s="3" t="s">
        <v>301</v>
      </c>
      <c r="D182" s="3">
        <v>-18.0885</v>
      </c>
      <c r="E182" s="3">
        <v>-163.15209999999999</v>
      </c>
      <c r="F182" s="1" t="s">
        <v>146</v>
      </c>
      <c r="G182" s="3" t="s">
        <v>302</v>
      </c>
      <c r="H182" s="11">
        <v>41398</v>
      </c>
      <c r="I182" s="9">
        <v>0.39097222222222222</v>
      </c>
      <c r="J182" s="3">
        <v>28</v>
      </c>
      <c r="K182" s="3">
        <v>28</v>
      </c>
      <c r="L182" s="3">
        <v>35.5</v>
      </c>
      <c r="M182" s="3">
        <v>12</v>
      </c>
      <c r="N182" s="15" t="s">
        <v>128</v>
      </c>
      <c r="O182" s="3">
        <v>40</v>
      </c>
      <c r="P182" s="3">
        <v>10.7</v>
      </c>
      <c r="Q182" s="3">
        <v>50.2</v>
      </c>
      <c r="R182" s="2" t="s">
        <v>37</v>
      </c>
      <c r="S182" s="12" t="s">
        <v>38</v>
      </c>
      <c r="T182" s="12"/>
      <c r="U182" s="12"/>
      <c r="V182" s="12"/>
      <c r="W182" s="12"/>
      <c r="X182" s="12"/>
      <c r="Y182" s="8">
        <v>41609</v>
      </c>
      <c r="Z182" s="12">
        <v>9.3000000000000007</v>
      </c>
      <c r="AA182" s="12">
        <v>2.0699999999999998</v>
      </c>
      <c r="AB182" s="12">
        <v>0.03</v>
      </c>
      <c r="AC182" s="12">
        <f>9.3*50/1000</f>
        <v>0.46500000000000008</v>
      </c>
      <c r="AD182" s="12" t="s">
        <v>64</v>
      </c>
      <c r="AE182" s="12"/>
      <c r="AF182" s="12" t="s">
        <v>79</v>
      </c>
      <c r="AG182" s="12"/>
      <c r="AH182" s="24"/>
      <c r="AI182" s="12"/>
      <c r="AJ182" s="24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</row>
    <row r="183" spans="1:46">
      <c r="A183" s="3">
        <v>115.1</v>
      </c>
      <c r="B183" s="3" t="s">
        <v>287</v>
      </c>
      <c r="C183" s="3" t="s">
        <v>301</v>
      </c>
      <c r="D183" s="3">
        <v>-18.0885</v>
      </c>
      <c r="E183" s="3">
        <v>-163.15209999999999</v>
      </c>
      <c r="F183" s="1" t="s">
        <v>146</v>
      </c>
      <c r="G183" s="3" t="s">
        <v>306</v>
      </c>
      <c r="H183" s="11">
        <v>41398</v>
      </c>
      <c r="I183" s="9">
        <v>0.40138888888888885</v>
      </c>
      <c r="J183" s="3">
        <v>28</v>
      </c>
      <c r="K183" s="3">
        <v>28</v>
      </c>
      <c r="L183" s="3">
        <v>35.5</v>
      </c>
      <c r="M183" s="3">
        <v>10</v>
      </c>
      <c r="N183" s="3" t="s">
        <v>307</v>
      </c>
      <c r="O183" s="3">
        <v>40</v>
      </c>
      <c r="P183" s="3">
        <v>6</v>
      </c>
      <c r="Q183" s="3">
        <v>19.8</v>
      </c>
      <c r="R183" s="2" t="s">
        <v>37</v>
      </c>
      <c r="S183" s="12">
        <v>25</v>
      </c>
      <c r="T183" s="12">
        <v>1.57</v>
      </c>
      <c r="U183" s="12">
        <v>0.51</v>
      </c>
      <c r="V183" s="3">
        <f t="shared" ref="V183:V198" si="9">S183*30/1000</f>
        <v>0.75</v>
      </c>
      <c r="W183" s="3" t="s">
        <v>47</v>
      </c>
      <c r="X183" s="3" t="s">
        <v>42</v>
      </c>
      <c r="Y183" s="7">
        <v>41518</v>
      </c>
      <c r="Z183" s="12">
        <v>60</v>
      </c>
      <c r="AA183" s="12">
        <v>1.85</v>
      </c>
      <c r="AB183" s="3">
        <v>0.7</v>
      </c>
      <c r="AC183" s="3">
        <f t="shared" ref="AC183:AC198" si="10">Z183*50/1000</f>
        <v>3</v>
      </c>
      <c r="AD183" s="3" t="s">
        <v>44</v>
      </c>
      <c r="AE183" s="3">
        <f>V183/AC183</f>
        <v>0.25</v>
      </c>
      <c r="AF183" s="12">
        <v>0.78</v>
      </c>
      <c r="AG183" s="12">
        <f t="shared" ref="AG183:AG188" si="11">(AF183-0.859)/-0.0088</f>
        <v>8.9772727272727213</v>
      </c>
      <c r="AH183" s="18">
        <f t="shared" si="6"/>
        <v>448.86363636363609</v>
      </c>
      <c r="AI183" s="12">
        <f t="shared" si="7"/>
        <v>89.772727272727224</v>
      </c>
      <c r="AJ183" s="18">
        <f t="shared" si="8"/>
        <v>44.55696202531648</v>
      </c>
      <c r="AK183" s="3" t="s">
        <v>308</v>
      </c>
      <c r="AN183" s="3" t="s">
        <v>304</v>
      </c>
      <c r="AP183" s="3" t="s">
        <v>309</v>
      </c>
    </row>
    <row r="184" spans="1:46">
      <c r="A184" s="3">
        <v>115.2</v>
      </c>
      <c r="B184" s="3" t="s">
        <v>287</v>
      </c>
      <c r="C184" s="3" t="s">
        <v>301</v>
      </c>
      <c r="D184" s="3">
        <v>-18.0885</v>
      </c>
      <c r="E184" s="3">
        <v>-163.15209999999999</v>
      </c>
      <c r="F184" s="1" t="s">
        <v>146</v>
      </c>
      <c r="G184" s="3" t="s">
        <v>306</v>
      </c>
      <c r="H184" s="11">
        <v>41398</v>
      </c>
      <c r="I184" s="9">
        <v>0.40138888888888885</v>
      </c>
      <c r="J184" s="3">
        <v>28</v>
      </c>
      <c r="K184" s="3">
        <v>28</v>
      </c>
      <c r="L184" s="3">
        <v>35.5</v>
      </c>
      <c r="M184" s="3">
        <v>10</v>
      </c>
      <c r="N184" s="3" t="s">
        <v>307</v>
      </c>
      <c r="O184" s="3">
        <v>40</v>
      </c>
      <c r="P184" s="3">
        <v>6</v>
      </c>
      <c r="Q184" s="3">
        <v>19.8</v>
      </c>
      <c r="R184" s="2" t="s">
        <v>37</v>
      </c>
      <c r="S184" s="12">
        <v>19.3</v>
      </c>
      <c r="T184" s="12">
        <v>2.13</v>
      </c>
      <c r="U184" s="12">
        <v>1.9</v>
      </c>
      <c r="V184" s="3">
        <f>19.3*30/1000</f>
        <v>0.57899999999999996</v>
      </c>
      <c r="W184" s="3" t="s">
        <v>64</v>
      </c>
      <c r="X184" s="3">
        <v>193</v>
      </c>
      <c r="Y184" s="7">
        <v>41609</v>
      </c>
      <c r="Z184" s="12">
        <v>8.6</v>
      </c>
      <c r="AA184" s="12">
        <v>2.15</v>
      </c>
      <c r="AB184" s="3">
        <v>0.16</v>
      </c>
      <c r="AC184" s="3">
        <f>8.6*50/1000</f>
        <v>0.43</v>
      </c>
      <c r="AD184" s="3" t="s">
        <v>64</v>
      </c>
      <c r="AE184" s="3">
        <f>V184/AC184</f>
        <v>1.3465116279069766</v>
      </c>
      <c r="AF184" s="12" t="s">
        <v>79</v>
      </c>
      <c r="AG184" s="12"/>
      <c r="AH184" s="18">
        <f>AVERAGE(AE183:AE184)</f>
        <v>0.79825581395348832</v>
      </c>
      <c r="AI184" s="12"/>
      <c r="AJ184" s="18"/>
    </row>
    <row r="185" spans="1:46">
      <c r="A185" s="3">
        <v>116.1</v>
      </c>
      <c r="B185" s="3" t="s">
        <v>287</v>
      </c>
      <c r="C185" s="3" t="s">
        <v>301</v>
      </c>
      <c r="D185" s="3">
        <v>-18.0885</v>
      </c>
      <c r="E185" s="3">
        <v>-163.15209999999999</v>
      </c>
      <c r="F185" s="2" t="s">
        <v>161</v>
      </c>
      <c r="G185" s="3" t="s">
        <v>310</v>
      </c>
      <c r="H185" s="11">
        <v>41398</v>
      </c>
      <c r="I185" s="9">
        <v>0.40625</v>
      </c>
      <c r="J185" s="3">
        <v>28</v>
      </c>
      <c r="K185" s="3">
        <v>28</v>
      </c>
      <c r="L185" s="3">
        <v>35.5</v>
      </c>
      <c r="M185" s="3">
        <v>10</v>
      </c>
      <c r="N185" s="3" t="s">
        <v>311</v>
      </c>
      <c r="O185" s="3">
        <v>45</v>
      </c>
      <c r="P185" s="3">
        <v>7.4</v>
      </c>
      <c r="Q185" s="3">
        <v>16.100000000000001</v>
      </c>
      <c r="R185" s="2" t="s">
        <v>37</v>
      </c>
      <c r="S185" s="12">
        <v>5</v>
      </c>
      <c r="T185" s="12">
        <v>1.62</v>
      </c>
      <c r="U185" s="12">
        <v>0.15</v>
      </c>
      <c r="V185" s="3">
        <f t="shared" si="9"/>
        <v>0.15</v>
      </c>
      <c r="W185" s="3" t="s">
        <v>64</v>
      </c>
      <c r="X185" s="3" t="s">
        <v>42</v>
      </c>
      <c r="Y185" s="7">
        <v>41518</v>
      </c>
      <c r="Z185" s="12">
        <v>20</v>
      </c>
      <c r="AA185" s="12">
        <v>1.85</v>
      </c>
      <c r="AB185" s="3">
        <v>0.47</v>
      </c>
      <c r="AC185" s="3">
        <f t="shared" si="10"/>
        <v>1</v>
      </c>
      <c r="AD185" s="3" t="s">
        <v>44</v>
      </c>
      <c r="AE185" s="3">
        <f>V185/AC185</f>
        <v>0.15</v>
      </c>
      <c r="AF185" s="12">
        <v>0.81299999999999994</v>
      </c>
      <c r="AG185" s="12">
        <f t="shared" si="11"/>
        <v>5.227272727272732</v>
      </c>
      <c r="AH185" s="18">
        <f t="shared" si="6"/>
        <v>261.3636363636366</v>
      </c>
      <c r="AI185" s="12">
        <f t="shared" si="7"/>
        <v>52.272727272727323</v>
      </c>
      <c r="AJ185" s="18">
        <f t="shared" si="8"/>
        <v>76.52173913043471</v>
      </c>
      <c r="AK185" s="3" t="s">
        <v>312</v>
      </c>
      <c r="AN185" s="3" t="s">
        <v>304</v>
      </c>
      <c r="AP185" s="3" t="s">
        <v>76</v>
      </c>
    </row>
    <row r="186" spans="1:46">
      <c r="A186" s="3">
        <v>116.2</v>
      </c>
      <c r="B186" s="3" t="s">
        <v>287</v>
      </c>
      <c r="C186" s="3" t="s">
        <v>301</v>
      </c>
      <c r="D186" s="3">
        <v>-18.0885</v>
      </c>
      <c r="E186" s="3">
        <v>-163.15209999999999</v>
      </c>
      <c r="F186" s="2" t="s">
        <v>313</v>
      </c>
      <c r="G186" s="3" t="s">
        <v>314</v>
      </c>
      <c r="H186" s="11">
        <v>41398</v>
      </c>
      <c r="I186" s="9">
        <v>0.40625</v>
      </c>
      <c r="J186" s="3">
        <v>28</v>
      </c>
      <c r="K186" s="3">
        <v>28</v>
      </c>
      <c r="L186" s="3">
        <v>35.5</v>
      </c>
      <c r="M186" s="3">
        <v>10</v>
      </c>
      <c r="N186" s="3" t="s">
        <v>311</v>
      </c>
      <c r="O186" s="3">
        <v>45</v>
      </c>
      <c r="P186" s="3">
        <v>7.4</v>
      </c>
      <c r="Q186" s="3">
        <v>16.100000000000001</v>
      </c>
      <c r="R186" s="2" t="s">
        <v>37</v>
      </c>
      <c r="S186" s="12" t="s">
        <v>38</v>
      </c>
      <c r="T186" s="12"/>
      <c r="U186" s="12"/>
      <c r="Y186" s="7">
        <v>41609</v>
      </c>
      <c r="Z186" s="12" t="s">
        <v>38</v>
      </c>
      <c r="AA186" s="12"/>
      <c r="AF186" s="12" t="s">
        <v>79</v>
      </c>
      <c r="AG186" s="12"/>
      <c r="AH186" s="18"/>
      <c r="AI186" s="12"/>
      <c r="AJ186" s="18"/>
    </row>
    <row r="187" spans="1:46">
      <c r="A187" s="3">
        <v>117</v>
      </c>
      <c r="B187" s="3" t="s">
        <v>287</v>
      </c>
      <c r="C187" s="3" t="s">
        <v>315</v>
      </c>
      <c r="D187" s="3">
        <v>-18.069700000000001</v>
      </c>
      <c r="E187" s="3">
        <v>-163.1293</v>
      </c>
      <c r="F187" s="1" t="s">
        <v>129</v>
      </c>
      <c r="G187" s="3" t="s">
        <v>316</v>
      </c>
      <c r="H187" s="11">
        <v>41398</v>
      </c>
      <c r="I187" s="9">
        <v>0.47222222222222227</v>
      </c>
      <c r="J187" s="3">
        <v>28</v>
      </c>
      <c r="K187" s="3">
        <v>28</v>
      </c>
      <c r="L187" s="3">
        <v>35.5</v>
      </c>
      <c r="M187" s="3">
        <v>13.5</v>
      </c>
      <c r="N187" s="3" t="s">
        <v>128</v>
      </c>
      <c r="O187" s="3">
        <v>40</v>
      </c>
      <c r="P187" s="3">
        <v>16.600000000000001</v>
      </c>
      <c r="Q187" s="3">
        <v>134</v>
      </c>
      <c r="R187" s="2" t="s">
        <v>37</v>
      </c>
      <c r="S187" s="12">
        <v>81</v>
      </c>
      <c r="T187" s="12">
        <v>1.8</v>
      </c>
      <c r="U187" s="12">
        <v>0.45</v>
      </c>
      <c r="V187" s="3">
        <f t="shared" si="9"/>
        <v>2.4300000000000002</v>
      </c>
      <c r="W187" s="3" t="s">
        <v>64</v>
      </c>
      <c r="X187" s="3" t="s">
        <v>42</v>
      </c>
      <c r="Y187" s="7">
        <v>41518</v>
      </c>
      <c r="Z187" s="12">
        <v>101</v>
      </c>
      <c r="AA187" s="12">
        <v>1.82</v>
      </c>
      <c r="AB187" s="3">
        <v>2.48</v>
      </c>
      <c r="AC187" s="3">
        <f t="shared" si="10"/>
        <v>5.05</v>
      </c>
      <c r="AD187" s="3" t="s">
        <v>44</v>
      </c>
      <c r="AE187" s="3">
        <f>V187/AC187</f>
        <v>0.48118811881188123</v>
      </c>
      <c r="AF187" s="12">
        <v>0.72699999999999998</v>
      </c>
      <c r="AG187" s="12">
        <f t="shared" si="11"/>
        <v>15</v>
      </c>
      <c r="AH187" s="24">
        <f t="shared" si="6"/>
        <v>750</v>
      </c>
      <c r="AI187" s="12">
        <f t="shared" si="7"/>
        <v>150</v>
      </c>
      <c r="AJ187" s="24">
        <f t="shared" si="8"/>
        <v>26.666666666666668</v>
      </c>
      <c r="AK187" s="3" t="s">
        <v>303</v>
      </c>
      <c r="AN187" s="3" t="s">
        <v>317</v>
      </c>
    </row>
    <row r="188" spans="1:46">
      <c r="A188" s="3">
        <v>118.1</v>
      </c>
      <c r="B188" s="3" t="s">
        <v>287</v>
      </c>
      <c r="C188" s="3" t="s">
        <v>315</v>
      </c>
      <c r="D188" s="3">
        <v>-18.069700000000001</v>
      </c>
      <c r="E188" s="3">
        <v>-163.1293</v>
      </c>
      <c r="F188" s="1" t="s">
        <v>129</v>
      </c>
      <c r="G188" s="3" t="s">
        <v>213</v>
      </c>
      <c r="H188" s="11">
        <v>41398</v>
      </c>
      <c r="I188" s="9">
        <v>0.48958333333333331</v>
      </c>
      <c r="J188" s="3">
        <v>28</v>
      </c>
      <c r="K188" s="3">
        <v>28</v>
      </c>
      <c r="L188" s="3">
        <v>35.5</v>
      </c>
      <c r="M188" s="3">
        <v>6.5</v>
      </c>
      <c r="N188" s="3" t="s">
        <v>128</v>
      </c>
      <c r="O188" s="3">
        <v>40</v>
      </c>
      <c r="P188" s="3">
        <v>12.4</v>
      </c>
      <c r="Q188" s="3">
        <v>98.2</v>
      </c>
      <c r="R188" s="2" t="s">
        <v>37</v>
      </c>
      <c r="S188" s="12">
        <v>37</v>
      </c>
      <c r="T188" s="12">
        <v>1.55</v>
      </c>
      <c r="U188" s="12">
        <v>0.49</v>
      </c>
      <c r="V188" s="3">
        <f t="shared" si="9"/>
        <v>1.1100000000000001</v>
      </c>
      <c r="W188" s="3" t="s">
        <v>64</v>
      </c>
      <c r="X188" s="3" t="s">
        <v>42</v>
      </c>
      <c r="Y188" s="7">
        <v>41518</v>
      </c>
      <c r="Z188" s="12">
        <v>33</v>
      </c>
      <c r="AA188" s="12">
        <v>1.95</v>
      </c>
      <c r="AB188" s="3">
        <v>1.04</v>
      </c>
      <c r="AC188" s="3">
        <f t="shared" si="10"/>
        <v>1.65</v>
      </c>
      <c r="AD188" s="3" t="s">
        <v>44</v>
      </c>
      <c r="AE188" s="3">
        <f>V188/AC188</f>
        <v>0.67272727272727284</v>
      </c>
      <c r="AF188" s="12">
        <v>0.84</v>
      </c>
      <c r="AG188" s="12">
        <f t="shared" si="11"/>
        <v>2.1590909090909109</v>
      </c>
      <c r="AH188" s="18">
        <f t="shared" si="6"/>
        <v>107.95454545454555</v>
      </c>
      <c r="AI188" s="12">
        <f t="shared" si="7"/>
        <v>21.590909090909111</v>
      </c>
      <c r="AJ188" s="18">
        <f t="shared" si="8"/>
        <v>185.26315789473668</v>
      </c>
      <c r="AK188" s="3" t="s">
        <v>312</v>
      </c>
      <c r="AN188" s="3" t="s">
        <v>318</v>
      </c>
    </row>
    <row r="189" spans="1:46">
      <c r="A189" s="3">
        <v>118.2</v>
      </c>
      <c r="B189" s="3" t="s">
        <v>287</v>
      </c>
      <c r="C189" s="3" t="s">
        <v>315</v>
      </c>
      <c r="D189" s="3">
        <v>-18.069700000000001</v>
      </c>
      <c r="E189" s="3">
        <v>-163.1293</v>
      </c>
      <c r="F189" s="1" t="s">
        <v>129</v>
      </c>
      <c r="G189" s="3" t="s">
        <v>213</v>
      </c>
      <c r="H189" s="11">
        <v>41398</v>
      </c>
      <c r="I189" s="9">
        <v>0.48958333333333331</v>
      </c>
      <c r="J189" s="3">
        <v>28</v>
      </c>
      <c r="K189" s="3">
        <v>28</v>
      </c>
      <c r="L189" s="3">
        <v>35.5</v>
      </c>
      <c r="M189" s="3">
        <v>6.5</v>
      </c>
      <c r="N189" s="3" t="s">
        <v>128</v>
      </c>
      <c r="O189" s="3">
        <v>40</v>
      </c>
      <c r="P189" s="3">
        <v>12.4</v>
      </c>
      <c r="Q189" s="3">
        <v>98.2</v>
      </c>
      <c r="R189" s="2" t="s">
        <v>37</v>
      </c>
      <c r="S189" s="12">
        <v>32</v>
      </c>
      <c r="T189" s="12">
        <v>2.2000000000000002</v>
      </c>
      <c r="U189" s="12">
        <v>0.25</v>
      </c>
      <c r="V189" s="3">
        <f>32*30/1000</f>
        <v>0.96</v>
      </c>
      <c r="W189" s="3" t="s">
        <v>60</v>
      </c>
      <c r="X189" s="3">
        <v>200</v>
      </c>
      <c r="Y189" s="7">
        <v>41609</v>
      </c>
      <c r="Z189" s="12">
        <v>69.900000000000006</v>
      </c>
      <c r="AA189" s="12">
        <v>1.96</v>
      </c>
      <c r="AB189" s="3">
        <v>0.56999999999999995</v>
      </c>
      <c r="AC189" s="3">
        <f>69.9*50/1000</f>
        <v>3.4950000000000006</v>
      </c>
      <c r="AD189" s="3" t="s">
        <v>44</v>
      </c>
      <c r="AE189" s="3">
        <f>V189/AC189</f>
        <v>0.27467811158798278</v>
      </c>
      <c r="AF189" s="12" t="s">
        <v>79</v>
      </c>
      <c r="AG189" s="12"/>
      <c r="AH189" s="18">
        <f>AVERAGE(AE188:AE189)</f>
        <v>0.47370269215762784</v>
      </c>
      <c r="AI189" s="12"/>
      <c r="AJ189" s="18"/>
    </row>
    <row r="190" spans="1:46">
      <c r="A190" s="12">
        <v>119.1</v>
      </c>
      <c r="B190" s="12" t="s">
        <v>287</v>
      </c>
      <c r="C190" s="12" t="s">
        <v>319</v>
      </c>
      <c r="D190" s="12">
        <v>-18.0412</v>
      </c>
      <c r="E190" s="12">
        <v>-163.1876</v>
      </c>
      <c r="F190" s="1" t="s">
        <v>82</v>
      </c>
      <c r="G190" s="12" t="s">
        <v>320</v>
      </c>
      <c r="H190" s="35">
        <v>41399</v>
      </c>
      <c r="I190" s="36">
        <v>0.36944444444444446</v>
      </c>
      <c r="J190" s="12">
        <v>28</v>
      </c>
      <c r="K190" s="12">
        <v>27.9</v>
      </c>
      <c r="L190" s="12">
        <v>35.5</v>
      </c>
      <c r="M190" s="12">
        <v>10</v>
      </c>
      <c r="N190" s="12" t="s">
        <v>307</v>
      </c>
      <c r="O190" s="12">
        <v>25</v>
      </c>
      <c r="P190" s="12">
        <v>9.6</v>
      </c>
      <c r="Q190" s="12">
        <v>40.700000000000003</v>
      </c>
      <c r="R190" s="18" t="s">
        <v>37</v>
      </c>
      <c r="S190" s="12">
        <v>22</v>
      </c>
      <c r="T190" s="12">
        <v>1.45</v>
      </c>
      <c r="U190" s="12">
        <v>0.4</v>
      </c>
      <c r="V190" s="12">
        <f t="shared" si="9"/>
        <v>0.66</v>
      </c>
      <c r="W190" s="12" t="s">
        <v>64</v>
      </c>
      <c r="X190" s="12" t="s">
        <v>42</v>
      </c>
      <c r="Y190" s="8">
        <v>41518</v>
      </c>
      <c r="Z190" s="12">
        <v>42</v>
      </c>
      <c r="AA190" s="12">
        <v>1.88</v>
      </c>
      <c r="AB190" s="12">
        <v>1.1499999999999999</v>
      </c>
      <c r="AC190" s="12">
        <f t="shared" si="10"/>
        <v>2.1</v>
      </c>
      <c r="AD190" s="12" t="s">
        <v>44</v>
      </c>
      <c r="AE190" s="3">
        <f>V190/AC190</f>
        <v>0.31428571428571428</v>
      </c>
      <c r="AF190" s="12">
        <v>0.96799999999999997</v>
      </c>
      <c r="AG190" s="12">
        <v>0</v>
      </c>
      <c r="AH190" s="12">
        <f t="shared" si="6"/>
        <v>0</v>
      </c>
      <c r="AI190" s="12">
        <f t="shared" si="7"/>
        <v>0</v>
      </c>
      <c r="AJ190" s="12" t="s">
        <v>276</v>
      </c>
      <c r="AK190" s="12" t="s">
        <v>312</v>
      </c>
      <c r="AL190" s="12"/>
      <c r="AM190" s="12"/>
      <c r="AN190" s="12"/>
      <c r="AO190" s="12"/>
      <c r="AP190" s="12"/>
      <c r="AQ190" s="12"/>
      <c r="AR190" s="12"/>
      <c r="AS190" s="12"/>
    </row>
    <row r="191" spans="1:46">
      <c r="A191" s="3">
        <v>119.2</v>
      </c>
      <c r="B191" s="3" t="s">
        <v>287</v>
      </c>
      <c r="C191" s="3" t="s">
        <v>319</v>
      </c>
      <c r="D191" s="3">
        <v>-18.0412</v>
      </c>
      <c r="E191" s="3">
        <v>-163.1876</v>
      </c>
      <c r="F191" s="1" t="s">
        <v>82</v>
      </c>
      <c r="G191" s="3" t="s">
        <v>320</v>
      </c>
      <c r="H191" s="11">
        <v>41399</v>
      </c>
      <c r="I191" s="9">
        <v>0.36944444444444446</v>
      </c>
      <c r="J191" s="3">
        <v>28</v>
      </c>
      <c r="K191" s="3">
        <v>27.9</v>
      </c>
      <c r="L191" s="3">
        <v>35.5</v>
      </c>
      <c r="M191" s="3">
        <v>10</v>
      </c>
      <c r="N191" s="3" t="s">
        <v>307</v>
      </c>
      <c r="O191" s="3">
        <v>25</v>
      </c>
      <c r="P191" s="3">
        <v>9.6</v>
      </c>
      <c r="Q191" s="3">
        <v>40.700000000000003</v>
      </c>
      <c r="R191" s="2" t="s">
        <v>37</v>
      </c>
      <c r="S191" s="12">
        <v>42.3</v>
      </c>
      <c r="T191" s="12">
        <v>2.11</v>
      </c>
      <c r="U191" s="12">
        <v>0.62</v>
      </c>
      <c r="V191" s="12">
        <f>42.3*30/1000</f>
        <v>1.2689999999999999</v>
      </c>
      <c r="W191" s="12" t="s">
        <v>47</v>
      </c>
      <c r="X191" s="12">
        <v>200</v>
      </c>
      <c r="Y191" s="42">
        <v>41621</v>
      </c>
      <c r="Z191" s="15" t="s">
        <v>79</v>
      </c>
      <c r="AA191" s="12"/>
      <c r="AB191" s="12"/>
      <c r="AC191" s="12"/>
      <c r="AD191" s="12"/>
      <c r="AF191" s="12" t="s">
        <v>79</v>
      </c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</row>
    <row r="192" spans="1:46">
      <c r="A192" s="3">
        <v>120.1</v>
      </c>
      <c r="B192" s="3" t="s">
        <v>287</v>
      </c>
      <c r="C192" s="3" t="s">
        <v>319</v>
      </c>
      <c r="D192" s="3">
        <v>-18.0412</v>
      </c>
      <c r="E192" s="3">
        <v>-163.1876</v>
      </c>
      <c r="F192" s="1" t="s">
        <v>82</v>
      </c>
      <c r="G192" s="3" t="s">
        <v>321</v>
      </c>
      <c r="H192" s="11">
        <v>41399</v>
      </c>
      <c r="I192" s="9">
        <v>0.375</v>
      </c>
      <c r="J192" s="3">
        <v>28</v>
      </c>
      <c r="K192" s="3">
        <v>27.9</v>
      </c>
      <c r="L192" s="3">
        <v>35.5</v>
      </c>
      <c r="M192" s="3">
        <v>9</v>
      </c>
      <c r="N192" s="3" t="s">
        <v>307</v>
      </c>
      <c r="O192" s="3">
        <v>20</v>
      </c>
      <c r="P192" s="3">
        <v>5.2</v>
      </c>
      <c r="Q192" s="3">
        <v>12.3</v>
      </c>
      <c r="R192" s="2" t="s">
        <v>37</v>
      </c>
      <c r="S192" s="12">
        <v>51.5</v>
      </c>
      <c r="T192" s="12">
        <v>1.96</v>
      </c>
      <c r="U192" s="3">
        <f>AVERAGE(2.64,1.87)</f>
        <v>2.2549999999999999</v>
      </c>
      <c r="V192" s="12">
        <f t="shared" si="9"/>
        <v>1.5449999999999999</v>
      </c>
      <c r="W192" s="3" t="s">
        <v>64</v>
      </c>
      <c r="X192" s="3" t="s">
        <v>42</v>
      </c>
      <c r="Y192" s="7">
        <v>41518</v>
      </c>
      <c r="Z192" s="12">
        <v>163</v>
      </c>
      <c r="AA192" s="12">
        <v>1.8</v>
      </c>
      <c r="AB192" s="3">
        <f>AVERAGE(2.8,2.24)</f>
        <v>2.52</v>
      </c>
      <c r="AC192" s="12">
        <f t="shared" si="10"/>
        <v>8.15</v>
      </c>
      <c r="AD192" s="3" t="s">
        <v>44</v>
      </c>
      <c r="AE192" s="3">
        <f>V192/AC192</f>
        <v>0.18957055214723925</v>
      </c>
      <c r="AF192" s="12">
        <v>0.754</v>
      </c>
      <c r="AG192" s="12">
        <f>(AF192-0.9317)/-0.007</f>
        <v>25.385714285714279</v>
      </c>
      <c r="AH192" s="24">
        <f>AG192/20*1000</f>
        <v>1269.285714285714</v>
      </c>
      <c r="AI192" s="12">
        <f t="shared" si="7"/>
        <v>253.8571428571428</v>
      </c>
      <c r="AK192" s="3" t="s">
        <v>303</v>
      </c>
    </row>
    <row r="193" spans="1:45">
      <c r="A193" s="3">
        <v>120.2</v>
      </c>
      <c r="B193" s="3" t="s">
        <v>287</v>
      </c>
      <c r="C193" s="3" t="s">
        <v>319</v>
      </c>
      <c r="D193" s="3">
        <v>-18.0412</v>
      </c>
      <c r="E193" s="3">
        <v>-163.1876</v>
      </c>
      <c r="F193" s="1" t="s">
        <v>82</v>
      </c>
      <c r="G193" s="3" t="s">
        <v>321</v>
      </c>
      <c r="H193" s="11">
        <v>41399</v>
      </c>
      <c r="I193" s="9">
        <v>0.375</v>
      </c>
      <c r="J193" s="3">
        <v>28</v>
      </c>
      <c r="K193" s="3">
        <v>27.9</v>
      </c>
      <c r="L193" s="3">
        <v>35.5</v>
      </c>
      <c r="M193" s="3">
        <v>9</v>
      </c>
      <c r="N193" s="3" t="s">
        <v>307</v>
      </c>
      <c r="O193" s="3">
        <v>20</v>
      </c>
      <c r="P193" s="3">
        <v>5.2</v>
      </c>
      <c r="Q193" s="3">
        <v>12.3</v>
      </c>
      <c r="R193" s="2" t="s">
        <v>37</v>
      </c>
      <c r="S193" s="12">
        <v>94.5</v>
      </c>
      <c r="T193" s="12">
        <v>2.1800000000000002</v>
      </c>
      <c r="U193" s="3">
        <v>1.3</v>
      </c>
      <c r="V193" s="12">
        <f>30*94.5/1000</f>
        <v>2.835</v>
      </c>
      <c r="W193" s="3" t="s">
        <v>47</v>
      </c>
      <c r="X193" s="3">
        <v>200</v>
      </c>
      <c r="Y193" s="7">
        <v>41609</v>
      </c>
      <c r="Z193" s="12" t="s">
        <v>79</v>
      </c>
      <c r="AA193" s="12"/>
      <c r="AC193" s="12"/>
      <c r="AF193" s="12" t="s">
        <v>79</v>
      </c>
      <c r="AG193" s="12"/>
      <c r="AH193" s="24"/>
      <c r="AI193" s="12"/>
    </row>
    <row r="194" spans="1:45">
      <c r="A194" s="3">
        <v>121.1</v>
      </c>
      <c r="B194" s="3" t="s">
        <v>287</v>
      </c>
      <c r="C194" s="3" t="s">
        <v>319</v>
      </c>
      <c r="D194" s="3">
        <v>-18.0412</v>
      </c>
      <c r="E194" s="3">
        <v>-163.1876</v>
      </c>
      <c r="F194" s="1" t="s">
        <v>82</v>
      </c>
      <c r="G194" s="3" t="s">
        <v>322</v>
      </c>
      <c r="H194" s="11">
        <v>41399</v>
      </c>
      <c r="I194" s="9">
        <v>0.3888888888888889</v>
      </c>
      <c r="J194" s="3">
        <v>28</v>
      </c>
      <c r="K194" s="3">
        <v>27.9</v>
      </c>
      <c r="L194" s="3">
        <v>35.5</v>
      </c>
      <c r="M194" s="3">
        <v>9</v>
      </c>
      <c r="N194" s="3" t="s">
        <v>307</v>
      </c>
      <c r="O194" s="3">
        <v>15</v>
      </c>
      <c r="P194" s="3">
        <v>5.8</v>
      </c>
      <c r="Q194" s="3">
        <v>17.600000000000001</v>
      </c>
      <c r="R194" s="2" t="s">
        <v>37</v>
      </c>
      <c r="S194" s="12">
        <v>61</v>
      </c>
      <c r="T194" s="12">
        <v>2.04</v>
      </c>
      <c r="U194" s="12">
        <v>1.39</v>
      </c>
      <c r="V194" s="12">
        <f t="shared" si="9"/>
        <v>1.83</v>
      </c>
      <c r="W194" s="3" t="s">
        <v>64</v>
      </c>
      <c r="X194" s="3" t="s">
        <v>42</v>
      </c>
      <c r="Y194" s="7">
        <v>41518</v>
      </c>
      <c r="Z194" s="12">
        <v>88</v>
      </c>
      <c r="AA194" s="12">
        <v>1.83</v>
      </c>
      <c r="AB194" s="3">
        <v>1.68</v>
      </c>
      <c r="AC194" s="12">
        <f t="shared" si="10"/>
        <v>4.4000000000000004</v>
      </c>
      <c r="AD194" s="3" t="s">
        <v>44</v>
      </c>
      <c r="AE194" s="3">
        <f>V194/AC194</f>
        <v>0.41590909090909089</v>
      </c>
      <c r="AF194" s="12">
        <v>0.79</v>
      </c>
      <c r="AG194" s="12">
        <f t="shared" ref="AG194:AG198" si="12">(AF194-0.9317)/-0.007</f>
        <v>20.242857142857133</v>
      </c>
      <c r="AH194" s="24">
        <f t="shared" ref="AH194:AH198" si="13">AG194/20*1000</f>
        <v>1012.1428571428565</v>
      </c>
      <c r="AI194" s="12">
        <f>AH194*100/1000</f>
        <v>101.21428571428565</v>
      </c>
      <c r="AK194" s="3" t="s">
        <v>303</v>
      </c>
    </row>
    <row r="195" spans="1:45">
      <c r="A195" s="3">
        <v>121.2</v>
      </c>
      <c r="B195" s="3" t="s">
        <v>287</v>
      </c>
      <c r="C195" s="3" t="s">
        <v>319</v>
      </c>
      <c r="D195" s="3">
        <v>-18.0412</v>
      </c>
      <c r="E195" s="3">
        <v>-163.1876</v>
      </c>
      <c r="F195" s="1" t="s">
        <v>82</v>
      </c>
      <c r="G195" s="3" t="s">
        <v>322</v>
      </c>
      <c r="H195" s="11">
        <v>41399</v>
      </c>
      <c r="I195" s="9">
        <v>0.3888888888888889</v>
      </c>
      <c r="J195" s="3">
        <v>28</v>
      </c>
      <c r="K195" s="3">
        <v>27.9</v>
      </c>
      <c r="L195" s="3">
        <v>35.5</v>
      </c>
      <c r="M195" s="3">
        <v>9</v>
      </c>
      <c r="N195" s="3" t="s">
        <v>307</v>
      </c>
      <c r="O195" s="3">
        <v>15</v>
      </c>
      <c r="P195" s="3">
        <v>5.8</v>
      </c>
      <c r="Q195" s="3">
        <v>17.600000000000001</v>
      </c>
      <c r="R195" s="2" t="s">
        <v>37</v>
      </c>
      <c r="S195" s="12">
        <v>37.200000000000003</v>
      </c>
      <c r="T195" s="12">
        <v>1.83</v>
      </c>
      <c r="U195" s="12">
        <v>0.67</v>
      </c>
      <c r="V195" s="12">
        <f>37.2*30/1000</f>
        <v>1.1160000000000001</v>
      </c>
      <c r="W195" s="3" t="s">
        <v>47</v>
      </c>
      <c r="X195" s="3">
        <v>200</v>
      </c>
      <c r="Y195" s="42">
        <v>41621</v>
      </c>
      <c r="Z195" s="15" t="s">
        <v>79</v>
      </c>
      <c r="AA195" s="12"/>
      <c r="AC195" s="12"/>
      <c r="AF195" s="12" t="s">
        <v>79</v>
      </c>
      <c r="AG195" s="12"/>
      <c r="AH195" s="24"/>
      <c r="AI195" s="12"/>
    </row>
    <row r="196" spans="1:45">
      <c r="A196" s="3">
        <v>122.1</v>
      </c>
      <c r="B196" s="3" t="s">
        <v>287</v>
      </c>
      <c r="C196" s="3" t="s">
        <v>323</v>
      </c>
      <c r="D196" s="3">
        <v>-18.005700000000001</v>
      </c>
      <c r="E196" s="3">
        <v>-163.17570000000001</v>
      </c>
      <c r="F196" s="1" t="s">
        <v>129</v>
      </c>
      <c r="G196" s="3" t="s">
        <v>324</v>
      </c>
      <c r="H196" s="11">
        <v>41399</v>
      </c>
      <c r="I196" s="9">
        <v>0.46319444444444446</v>
      </c>
      <c r="J196" s="3">
        <v>28</v>
      </c>
      <c r="K196" s="3">
        <v>28</v>
      </c>
      <c r="L196" s="3">
        <v>35.5</v>
      </c>
      <c r="M196" s="3">
        <v>7</v>
      </c>
      <c r="N196" s="3" t="s">
        <v>325</v>
      </c>
      <c r="O196" s="3">
        <v>20</v>
      </c>
      <c r="P196" s="3">
        <v>10.6</v>
      </c>
      <c r="Q196" s="3">
        <v>76.099999999999994</v>
      </c>
      <c r="R196" s="2" t="s">
        <v>37</v>
      </c>
      <c r="S196" s="12">
        <v>75.5</v>
      </c>
      <c r="T196" s="12">
        <v>2.08</v>
      </c>
      <c r="U196" s="12">
        <v>1.1299999999999999</v>
      </c>
      <c r="V196" s="12">
        <f t="shared" si="9"/>
        <v>2.2650000000000001</v>
      </c>
      <c r="W196" s="3" t="s">
        <v>64</v>
      </c>
      <c r="X196" s="3" t="s">
        <v>42</v>
      </c>
      <c r="Y196" s="7">
        <v>41518</v>
      </c>
      <c r="Z196" s="3">
        <v>211</v>
      </c>
      <c r="AA196" s="3">
        <f>AVERAGE(1.8)</f>
        <v>1.8</v>
      </c>
      <c r="AB196" s="3">
        <v>2.46</v>
      </c>
      <c r="AC196" s="12">
        <f t="shared" si="10"/>
        <v>10.55</v>
      </c>
      <c r="AD196" s="3" t="s">
        <v>44</v>
      </c>
      <c r="AE196" s="3">
        <f>V196/AC196</f>
        <v>0.21469194312796208</v>
      </c>
      <c r="AF196" s="12">
        <v>0.67200000000000004</v>
      </c>
      <c r="AG196" s="12">
        <f t="shared" si="12"/>
        <v>37.099999999999987</v>
      </c>
      <c r="AH196" s="24">
        <f t="shared" si="13"/>
        <v>1854.9999999999993</v>
      </c>
      <c r="AI196" s="12">
        <f>AH196*100/1000</f>
        <v>185.49999999999994</v>
      </c>
      <c r="AK196" s="3" t="s">
        <v>303</v>
      </c>
      <c r="AN196" s="3" t="s">
        <v>326</v>
      </c>
    </row>
    <row r="197" spans="1:45">
      <c r="A197" s="3">
        <v>122.2</v>
      </c>
      <c r="B197" s="3" t="s">
        <v>287</v>
      </c>
      <c r="C197" s="3" t="s">
        <v>323</v>
      </c>
      <c r="D197" s="3">
        <v>-18.005700000000001</v>
      </c>
      <c r="E197" s="3">
        <v>-163.17570000000001</v>
      </c>
      <c r="F197" s="1" t="s">
        <v>129</v>
      </c>
      <c r="G197" s="3" t="s">
        <v>324</v>
      </c>
      <c r="H197" s="11">
        <v>41399</v>
      </c>
      <c r="I197" s="9">
        <v>0.46319444444444446</v>
      </c>
      <c r="J197" s="3">
        <v>28</v>
      </c>
      <c r="K197" s="3">
        <v>28</v>
      </c>
      <c r="L197" s="3">
        <v>35.5</v>
      </c>
      <c r="M197" s="3">
        <v>7</v>
      </c>
      <c r="N197" s="3" t="s">
        <v>325</v>
      </c>
      <c r="O197" s="3">
        <v>20</v>
      </c>
      <c r="P197" s="3">
        <v>10.6</v>
      </c>
      <c r="Q197" s="3">
        <v>76.099999999999994</v>
      </c>
      <c r="R197" s="2" t="s">
        <v>37</v>
      </c>
      <c r="S197" s="12">
        <v>26.7</v>
      </c>
      <c r="T197" s="12">
        <v>2.25</v>
      </c>
      <c r="U197" s="12">
        <v>0.95</v>
      </c>
      <c r="V197" s="12">
        <f>26.7*30/1000</f>
        <v>0.80100000000000005</v>
      </c>
      <c r="W197" s="3" t="s">
        <v>47</v>
      </c>
      <c r="X197" s="3">
        <v>200</v>
      </c>
      <c r="Y197" s="7">
        <v>41609</v>
      </c>
      <c r="Z197" s="3">
        <v>32</v>
      </c>
      <c r="AA197" s="3">
        <v>2.06</v>
      </c>
      <c r="AB197" s="3">
        <v>0.46</v>
      </c>
      <c r="AC197" s="12">
        <f>32*50/1000</f>
        <v>1.6</v>
      </c>
      <c r="AD197" s="3" t="s">
        <v>44</v>
      </c>
      <c r="AE197" s="3">
        <f>V197/AC197</f>
        <v>0.50062499999999999</v>
      </c>
      <c r="AF197" s="12" t="s">
        <v>79</v>
      </c>
      <c r="AG197" s="12"/>
      <c r="AH197" s="24">
        <f>AVERAGE(AE196:AE197)</f>
        <v>0.35765847156398101</v>
      </c>
      <c r="AI197" s="12"/>
    </row>
    <row r="198" spans="1:45">
      <c r="A198" s="21">
        <v>123</v>
      </c>
      <c r="B198" s="21" t="s">
        <v>287</v>
      </c>
      <c r="C198" s="21" t="s">
        <v>323</v>
      </c>
      <c r="D198" s="21">
        <v>-18.005700000000001</v>
      </c>
      <c r="E198" s="21">
        <v>-163.17570000000001</v>
      </c>
      <c r="F198" s="29" t="s">
        <v>82</v>
      </c>
      <c r="G198" s="21" t="s">
        <v>327</v>
      </c>
      <c r="H198" s="22">
        <v>41399</v>
      </c>
      <c r="I198" s="23">
        <v>0.46597222222222223</v>
      </c>
      <c r="J198" s="21">
        <v>28</v>
      </c>
      <c r="K198" s="21">
        <v>28</v>
      </c>
      <c r="L198" s="21">
        <v>35.5</v>
      </c>
      <c r="M198" s="21">
        <v>7</v>
      </c>
      <c r="N198" s="21" t="s">
        <v>325</v>
      </c>
      <c r="O198" s="21">
        <v>25</v>
      </c>
      <c r="P198" s="21">
        <v>11.4</v>
      </c>
      <c r="Q198" s="21">
        <v>52.3</v>
      </c>
      <c r="R198" s="19" t="s">
        <v>37</v>
      </c>
      <c r="S198" s="21">
        <v>56</v>
      </c>
      <c r="T198" s="21">
        <v>2.0699999999999998</v>
      </c>
      <c r="U198" s="21">
        <v>0.63</v>
      </c>
      <c r="V198" s="21">
        <f t="shared" si="9"/>
        <v>1.68</v>
      </c>
      <c r="W198" s="21" t="s">
        <v>64</v>
      </c>
      <c r="X198" s="21" t="s">
        <v>42</v>
      </c>
      <c r="Y198" s="7">
        <v>41518</v>
      </c>
      <c r="Z198" s="21">
        <v>151</v>
      </c>
      <c r="AA198" s="21">
        <v>1.8</v>
      </c>
      <c r="AB198" s="21">
        <v>1.72</v>
      </c>
      <c r="AC198" s="21">
        <f t="shared" si="10"/>
        <v>7.55</v>
      </c>
      <c r="AD198" s="21" t="s">
        <v>44</v>
      </c>
      <c r="AE198" s="3">
        <f>V198/AC198</f>
        <v>0.22251655629139072</v>
      </c>
      <c r="AF198" s="21">
        <v>0.79</v>
      </c>
      <c r="AG198" s="21">
        <f t="shared" si="12"/>
        <v>20.242857142857133</v>
      </c>
      <c r="AH198" s="41">
        <f t="shared" si="13"/>
        <v>1012.1428571428565</v>
      </c>
      <c r="AI198" s="21">
        <f>AH198*100/1000</f>
        <v>101.21428571428565</v>
      </c>
      <c r="AJ198" s="21"/>
      <c r="AK198" s="21" t="s">
        <v>303</v>
      </c>
      <c r="AL198" s="21"/>
      <c r="AM198" s="21"/>
      <c r="AN198" s="21"/>
      <c r="AO198" s="21"/>
      <c r="AP198" s="21"/>
      <c r="AQ198" s="21"/>
      <c r="AR198" s="21"/>
      <c r="AS198" s="2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6"/>
  <sheetViews>
    <sheetView tabSelected="1" topLeftCell="A84" workbookViewId="0">
      <pane xSplit="1" topLeftCell="B1" activePane="topRight" state="frozen"/>
      <selection pane="topRight" activeCell="E107" sqref="E107"/>
    </sheetView>
  </sheetViews>
  <sheetFormatPr baseColWidth="10" defaultRowHeight="15" x14ac:dyDescent="0"/>
  <cols>
    <col min="1" max="1" width="14" bestFit="1" customWidth="1"/>
    <col min="4" max="4" width="18.6640625" customWidth="1"/>
    <col min="5" max="5" width="13.83203125" customWidth="1"/>
    <col min="6" max="6" width="17.33203125" customWidth="1"/>
    <col min="7" max="7" width="22" customWidth="1"/>
    <col min="8" max="8" width="18.83203125" customWidth="1"/>
    <col min="9" max="9" width="24.1640625" bestFit="1" customWidth="1"/>
    <col min="10" max="10" width="14.83203125" customWidth="1"/>
    <col min="11" max="11" width="13.5" bestFit="1" customWidth="1"/>
    <col min="13" max="13" width="21.83203125" customWidth="1"/>
    <col min="15" max="15" width="22.1640625" customWidth="1"/>
    <col min="16" max="16" width="13.5" bestFit="1" customWidth="1"/>
    <col min="17" max="17" width="19.33203125" style="44" customWidth="1"/>
    <col min="18" max="18" width="14" customWidth="1"/>
    <col min="20" max="20" width="14" customWidth="1"/>
    <col min="22" max="22" width="14.5" customWidth="1"/>
    <col min="24" max="24" width="13.1640625" customWidth="1"/>
    <col min="26" max="26" width="16.5" customWidth="1"/>
    <col min="27" max="27" width="14.5" customWidth="1"/>
    <col min="28" max="28" width="12.33203125" style="48" customWidth="1"/>
    <col min="29" max="29" width="12.33203125" style="50" customWidth="1"/>
    <col min="30" max="30" width="11.83203125" customWidth="1"/>
    <col min="31" max="31" width="22.5" bestFit="1" customWidth="1"/>
  </cols>
  <sheetData>
    <row r="1" spans="1:31">
      <c r="I1" t="s">
        <v>366</v>
      </c>
      <c r="L1" t="s">
        <v>350</v>
      </c>
      <c r="Q1" s="44" t="s">
        <v>352</v>
      </c>
      <c r="S1" t="s">
        <v>351</v>
      </c>
      <c r="AD1" s="45" t="s">
        <v>371</v>
      </c>
      <c r="AE1" s="45" t="s">
        <v>372</v>
      </c>
    </row>
    <row r="2" spans="1:31" s="45" customFormat="1">
      <c r="A2" s="45" t="s">
        <v>336</v>
      </c>
      <c r="B2" s="45" t="s">
        <v>367</v>
      </c>
      <c r="C2" s="45" t="s">
        <v>1</v>
      </c>
      <c r="D2" s="45" t="s">
        <v>2</v>
      </c>
      <c r="E2" s="45" t="s">
        <v>337</v>
      </c>
      <c r="F2" s="45" t="s">
        <v>7</v>
      </c>
      <c r="G2" s="45" t="s">
        <v>12</v>
      </c>
      <c r="H2" s="45" t="s">
        <v>338</v>
      </c>
      <c r="I2" s="45" t="s">
        <v>329</v>
      </c>
      <c r="J2" s="45" t="s">
        <v>339</v>
      </c>
      <c r="K2" s="45" t="s">
        <v>340</v>
      </c>
      <c r="L2" s="45" t="s">
        <v>328</v>
      </c>
      <c r="M2" s="45" t="s">
        <v>368</v>
      </c>
      <c r="N2" s="45" t="s">
        <v>330</v>
      </c>
      <c r="O2" s="45" t="s">
        <v>369</v>
      </c>
      <c r="P2" s="45" t="s">
        <v>353</v>
      </c>
      <c r="Q2" s="46" t="s">
        <v>354</v>
      </c>
      <c r="R2" s="45" t="s">
        <v>355</v>
      </c>
      <c r="S2" s="45" t="s">
        <v>356</v>
      </c>
      <c r="T2" s="45" t="s">
        <v>357</v>
      </c>
      <c r="U2" s="45" t="s">
        <v>358</v>
      </c>
      <c r="V2" s="45" t="s">
        <v>359</v>
      </c>
      <c r="W2" s="45" t="s">
        <v>360</v>
      </c>
      <c r="X2" s="45" t="s">
        <v>361</v>
      </c>
      <c r="Y2" s="45" t="s">
        <v>362</v>
      </c>
      <c r="Z2" s="45" t="s">
        <v>363</v>
      </c>
      <c r="AA2" s="45" t="s">
        <v>364</v>
      </c>
      <c r="AB2" s="49" t="s">
        <v>365</v>
      </c>
      <c r="AC2" s="51" t="s">
        <v>384</v>
      </c>
      <c r="AD2" s="47" t="s">
        <v>370</v>
      </c>
      <c r="AE2" t="s">
        <v>373</v>
      </c>
    </row>
    <row r="3" spans="1:31">
      <c r="A3">
        <v>3.1</v>
      </c>
      <c r="B3" t="s">
        <v>332</v>
      </c>
      <c r="C3" t="s">
        <v>32</v>
      </c>
      <c r="D3" t="s">
        <v>39</v>
      </c>
      <c r="E3" t="s">
        <v>193</v>
      </c>
      <c r="F3" s="10">
        <v>41375</v>
      </c>
      <c r="G3" s="14" t="s">
        <v>145</v>
      </c>
      <c r="H3" t="s">
        <v>341</v>
      </c>
      <c r="I3" s="47" t="s">
        <v>40</v>
      </c>
      <c r="J3" t="s">
        <v>333</v>
      </c>
      <c r="K3">
        <v>0.34</v>
      </c>
      <c r="L3">
        <v>27.479957469999999</v>
      </c>
      <c r="M3">
        <v>85.8</v>
      </c>
      <c r="N3">
        <v>72.520042529999998</v>
      </c>
      <c r="O3">
        <v>82.1</v>
      </c>
      <c r="P3">
        <v>369.82173010000002</v>
      </c>
      <c r="Q3" s="44">
        <v>133.80790329999999</v>
      </c>
      <c r="R3">
        <v>4.8692907730000003</v>
      </c>
      <c r="S3">
        <v>82.368426319999998</v>
      </c>
      <c r="T3">
        <v>2.997400066</v>
      </c>
      <c r="U3">
        <v>22.070073369999999</v>
      </c>
      <c r="V3">
        <v>0.80313346200000002</v>
      </c>
      <c r="W3">
        <v>3.8123648320000001</v>
      </c>
      <c r="X3">
        <v>0.13873255900000001</v>
      </c>
      <c r="Y3">
        <v>2.3467858320000001</v>
      </c>
      <c r="Z3">
        <v>8.5399907999999997E-2</v>
      </c>
      <c r="AA3">
        <v>29.80232239</v>
      </c>
      <c r="AB3" s="48">
        <v>1.0845112269999999</v>
      </c>
      <c r="AC3" s="50" t="s">
        <v>385</v>
      </c>
      <c r="AD3" s="47" t="s">
        <v>374</v>
      </c>
      <c r="AE3" t="s">
        <v>375</v>
      </c>
    </row>
    <row r="4" spans="1:31">
      <c r="A4">
        <v>4.2</v>
      </c>
      <c r="B4" t="s">
        <v>332</v>
      </c>
      <c r="C4" t="s">
        <v>32</v>
      </c>
      <c r="D4" t="s">
        <v>49</v>
      </c>
      <c r="E4" t="s">
        <v>193</v>
      </c>
      <c r="F4" s="10">
        <v>41376</v>
      </c>
      <c r="G4" t="s">
        <v>342</v>
      </c>
      <c r="H4" t="s">
        <v>343</v>
      </c>
      <c r="I4" s="47" t="s">
        <v>40</v>
      </c>
      <c r="J4" t="s">
        <v>333</v>
      </c>
      <c r="K4">
        <v>0.6</v>
      </c>
      <c r="L4">
        <v>31.312135420000001</v>
      </c>
      <c r="M4">
        <v>85.8</v>
      </c>
      <c r="N4">
        <v>68.687864579999996</v>
      </c>
      <c r="O4">
        <v>82.2</v>
      </c>
      <c r="P4">
        <v>71.705879929999995</v>
      </c>
      <c r="Q4" s="44">
        <v>35.034057689999997</v>
      </c>
      <c r="R4">
        <v>1.118865169</v>
      </c>
      <c r="S4">
        <v>26.55085081</v>
      </c>
      <c r="T4">
        <v>0.84794123600000004</v>
      </c>
      <c r="U4">
        <v>7.280409101</v>
      </c>
      <c r="V4">
        <v>0.232510782</v>
      </c>
      <c r="W4">
        <v>0.64350333100000001</v>
      </c>
      <c r="X4">
        <v>2.0551244E-2</v>
      </c>
      <c r="Y4">
        <v>0.689689793</v>
      </c>
      <c r="Z4">
        <v>2.2026278E-2</v>
      </c>
      <c r="AA4">
        <v>11.03503669</v>
      </c>
      <c r="AB4" s="48">
        <v>0.35242044500000003</v>
      </c>
      <c r="AC4" s="50" t="s">
        <v>385</v>
      </c>
      <c r="AD4" s="47" t="s">
        <v>376</v>
      </c>
      <c r="AE4" t="s">
        <v>377</v>
      </c>
    </row>
    <row r="5" spans="1:31">
      <c r="A5">
        <v>5.2</v>
      </c>
      <c r="B5" t="s">
        <v>332</v>
      </c>
      <c r="C5" t="s">
        <v>32</v>
      </c>
      <c r="D5" t="s">
        <v>54</v>
      </c>
      <c r="E5" t="s">
        <v>193</v>
      </c>
      <c r="F5" s="10">
        <v>41376</v>
      </c>
      <c r="G5" s="14" t="s">
        <v>145</v>
      </c>
      <c r="H5" t="s">
        <v>341</v>
      </c>
      <c r="I5" s="47" t="s">
        <v>40</v>
      </c>
      <c r="J5" t="s">
        <v>333</v>
      </c>
      <c r="K5">
        <v>0.95</v>
      </c>
      <c r="L5">
        <v>21.519769350000001</v>
      </c>
      <c r="M5">
        <v>85.8</v>
      </c>
      <c r="N5">
        <v>78.480230649999996</v>
      </c>
      <c r="O5">
        <v>82.2</v>
      </c>
      <c r="P5">
        <v>180.68749510000001</v>
      </c>
      <c r="Q5" s="44">
        <v>286.82351970000002</v>
      </c>
      <c r="R5">
        <v>13.328373320000001</v>
      </c>
      <c r="S5">
        <v>434.74316049999999</v>
      </c>
      <c r="T5">
        <v>20.202036249999999</v>
      </c>
      <c r="U5">
        <v>51.888857080000001</v>
      </c>
      <c r="V5">
        <v>2.411218087</v>
      </c>
      <c r="W5">
        <v>11.03503669</v>
      </c>
      <c r="X5">
        <v>0.51278601099999999</v>
      </c>
      <c r="Y5">
        <v>8.9632349910000002</v>
      </c>
      <c r="Z5">
        <v>0.416511666</v>
      </c>
      <c r="AC5" s="12" t="s">
        <v>385</v>
      </c>
      <c r="AD5" s="47" t="s">
        <v>378</v>
      </c>
      <c r="AE5" t="s">
        <v>379</v>
      </c>
    </row>
    <row r="6" spans="1:31">
      <c r="A6">
        <v>6.1</v>
      </c>
      <c r="B6" t="s">
        <v>332</v>
      </c>
      <c r="C6" t="s">
        <v>32</v>
      </c>
      <c r="D6" t="s">
        <v>54</v>
      </c>
      <c r="E6" t="s">
        <v>193</v>
      </c>
      <c r="F6" s="10">
        <v>41376</v>
      </c>
      <c r="G6" s="14" t="s">
        <v>145</v>
      </c>
      <c r="H6" t="s">
        <v>341</v>
      </c>
      <c r="I6" s="47" t="s">
        <v>40</v>
      </c>
      <c r="J6" t="s">
        <v>333</v>
      </c>
      <c r="L6">
        <v>30.817361829999999</v>
      </c>
      <c r="M6">
        <v>85.9</v>
      </c>
      <c r="N6">
        <v>69.182638170000004</v>
      </c>
      <c r="O6">
        <v>82</v>
      </c>
      <c r="P6">
        <v>369.82173010000002</v>
      </c>
      <c r="AC6" s="12" t="s">
        <v>387</v>
      </c>
      <c r="AD6" s="47" t="s">
        <v>380</v>
      </c>
      <c r="AE6" t="s">
        <v>381</v>
      </c>
    </row>
    <row r="7" spans="1:31">
      <c r="A7">
        <v>7.1</v>
      </c>
      <c r="B7" t="s">
        <v>332</v>
      </c>
      <c r="C7" t="s">
        <v>32</v>
      </c>
      <c r="D7" t="s">
        <v>54</v>
      </c>
      <c r="E7" t="s">
        <v>193</v>
      </c>
      <c r="F7" s="10">
        <v>41376</v>
      </c>
      <c r="G7" s="14" t="s">
        <v>145</v>
      </c>
      <c r="H7" t="s">
        <v>341</v>
      </c>
      <c r="I7" s="47" t="s">
        <v>40</v>
      </c>
      <c r="J7" t="s">
        <v>333</v>
      </c>
      <c r="L7">
        <v>50.577596960000001</v>
      </c>
      <c r="M7">
        <v>86.2</v>
      </c>
      <c r="N7">
        <v>49.422403039999999</v>
      </c>
      <c r="O7">
        <v>82.5</v>
      </c>
      <c r="P7">
        <v>378.46590329999998</v>
      </c>
      <c r="AC7" s="12" t="s">
        <v>387</v>
      </c>
      <c r="AD7" s="47" t="s">
        <v>382</v>
      </c>
      <c r="AE7" t="s">
        <v>383</v>
      </c>
    </row>
    <row r="8" spans="1:31">
      <c r="A8">
        <v>8.1999999999999993</v>
      </c>
      <c r="B8" t="s">
        <v>332</v>
      </c>
      <c r="C8" t="s">
        <v>32</v>
      </c>
      <c r="D8" t="s">
        <v>54</v>
      </c>
      <c r="E8" t="s">
        <v>193</v>
      </c>
      <c r="F8" s="10">
        <v>41376</v>
      </c>
      <c r="G8" s="14" t="s">
        <v>145</v>
      </c>
      <c r="H8" t="s">
        <v>341</v>
      </c>
      <c r="I8" t="s">
        <v>331</v>
      </c>
      <c r="J8" t="s">
        <v>333</v>
      </c>
      <c r="K8">
        <v>1.1000000000000001</v>
      </c>
      <c r="L8">
        <v>37.018742619999998</v>
      </c>
      <c r="M8">
        <v>85.8</v>
      </c>
      <c r="N8">
        <v>62.981257380000002</v>
      </c>
      <c r="O8">
        <v>82.1</v>
      </c>
      <c r="P8">
        <v>255.5307061</v>
      </c>
      <c r="Q8" s="44">
        <v>157.29760060000001</v>
      </c>
      <c r="R8">
        <v>4.2491340729999996</v>
      </c>
      <c r="S8">
        <v>238.41857909999999</v>
      </c>
      <c r="T8">
        <v>6.4404829069999998</v>
      </c>
      <c r="U8">
        <v>33.451975830000002</v>
      </c>
      <c r="V8">
        <v>0.903649704</v>
      </c>
      <c r="W8">
        <v>6.637712703</v>
      </c>
      <c r="X8">
        <v>0.17930681100000001</v>
      </c>
      <c r="Y8">
        <v>3.3188563520000001</v>
      </c>
      <c r="Z8">
        <v>8.9653406000000005E-2</v>
      </c>
      <c r="AC8" s="12" t="s">
        <v>385</v>
      </c>
    </row>
    <row r="9" spans="1:31">
      <c r="A9">
        <v>9.1</v>
      </c>
      <c r="B9" t="s">
        <v>332</v>
      </c>
      <c r="C9" t="s">
        <v>32</v>
      </c>
      <c r="D9" t="s">
        <v>71</v>
      </c>
      <c r="E9" t="s">
        <v>193</v>
      </c>
      <c r="F9" s="10">
        <v>41377</v>
      </c>
      <c r="G9" t="s">
        <v>342</v>
      </c>
      <c r="H9" t="s">
        <v>343</v>
      </c>
      <c r="I9" s="47" t="s">
        <v>40</v>
      </c>
      <c r="J9" t="s">
        <v>333</v>
      </c>
      <c r="L9">
        <v>28.882627939999999</v>
      </c>
      <c r="M9">
        <v>85.8</v>
      </c>
      <c r="N9">
        <v>71.117372059999994</v>
      </c>
      <c r="O9">
        <v>82.1</v>
      </c>
      <c r="P9">
        <v>23.113858130000001</v>
      </c>
      <c r="AC9" s="12" t="s">
        <v>387</v>
      </c>
    </row>
    <row r="10" spans="1:31">
      <c r="A10">
        <v>10.1</v>
      </c>
      <c r="B10" t="s">
        <v>332</v>
      </c>
      <c r="C10" t="s">
        <v>32</v>
      </c>
      <c r="D10" t="s">
        <v>71</v>
      </c>
      <c r="E10" t="s">
        <v>193</v>
      </c>
      <c r="F10" s="10">
        <v>41377</v>
      </c>
      <c r="G10" t="s">
        <v>342</v>
      </c>
      <c r="H10" t="s">
        <v>343</v>
      </c>
      <c r="I10" s="47" t="s">
        <v>40</v>
      </c>
      <c r="J10" t="s">
        <v>333</v>
      </c>
      <c r="K10" t="s">
        <v>386</v>
      </c>
      <c r="L10">
        <v>18.913982390000001</v>
      </c>
      <c r="M10">
        <v>85.6</v>
      </c>
      <c r="N10">
        <v>81.086017609999999</v>
      </c>
      <c r="O10">
        <v>81.8</v>
      </c>
      <c r="P10">
        <v>80.487128859999999</v>
      </c>
      <c r="Q10" s="44">
        <v>119.20928960000001</v>
      </c>
      <c r="R10">
        <v>6.3027070170000004</v>
      </c>
      <c r="S10">
        <v>90.343747530000002</v>
      </c>
      <c r="T10">
        <v>4.7765587189999996</v>
      </c>
      <c r="U10">
        <v>15.60589854</v>
      </c>
      <c r="V10">
        <v>0.82509850200000001</v>
      </c>
      <c r="W10">
        <v>2.4577750090000001</v>
      </c>
      <c r="X10">
        <v>0.12994487099999999</v>
      </c>
      <c r="Y10">
        <v>1.444616133</v>
      </c>
      <c r="Z10">
        <v>7.6378211000000001E-2</v>
      </c>
      <c r="AA10">
        <v>19.662200070000001</v>
      </c>
      <c r="AB10" s="48">
        <v>1.0395589709999999</v>
      </c>
      <c r="AC10" s="12" t="s">
        <v>387</v>
      </c>
      <c r="AD10" s="53" t="s">
        <v>389</v>
      </c>
    </row>
    <row r="11" spans="1:31">
      <c r="A11">
        <v>11.2</v>
      </c>
      <c r="B11" t="s">
        <v>332</v>
      </c>
      <c r="C11" t="s">
        <v>32</v>
      </c>
      <c r="D11" t="s">
        <v>71</v>
      </c>
      <c r="E11" t="s">
        <v>193</v>
      </c>
      <c r="F11" s="10">
        <v>41377</v>
      </c>
      <c r="G11" t="s">
        <v>342</v>
      </c>
      <c r="H11" t="s">
        <v>343</v>
      </c>
      <c r="I11" s="47" t="s">
        <v>40</v>
      </c>
      <c r="J11" t="s">
        <v>333</v>
      </c>
      <c r="K11">
        <v>0.38</v>
      </c>
      <c r="L11">
        <v>11.575771810000001</v>
      </c>
      <c r="M11">
        <v>85.6</v>
      </c>
      <c r="N11">
        <v>88.424228189999994</v>
      </c>
      <c r="O11">
        <v>81.8</v>
      </c>
      <c r="P11">
        <v>16.343965820000001</v>
      </c>
      <c r="AC11" s="12" t="s">
        <v>387</v>
      </c>
    </row>
    <row r="12" spans="1:31">
      <c r="A12">
        <v>12.1</v>
      </c>
      <c r="B12" t="s">
        <v>332</v>
      </c>
      <c r="C12" t="s">
        <v>32</v>
      </c>
      <c r="D12" t="s">
        <v>54</v>
      </c>
      <c r="E12" t="s">
        <v>197</v>
      </c>
      <c r="F12" s="10">
        <v>41377</v>
      </c>
      <c r="G12" s="14" t="s">
        <v>145</v>
      </c>
      <c r="H12" t="s">
        <v>341</v>
      </c>
      <c r="I12" s="47" t="s">
        <v>82</v>
      </c>
      <c r="J12" t="s">
        <v>333</v>
      </c>
      <c r="K12">
        <v>1.2</v>
      </c>
      <c r="Q12" s="44">
        <v>329.47370530000001</v>
      </c>
      <c r="S12">
        <v>232.9730912</v>
      </c>
      <c r="U12">
        <v>55.613100019999997</v>
      </c>
      <c r="W12">
        <v>9.8311000370000006</v>
      </c>
      <c r="Y12">
        <v>8.7585144209999992</v>
      </c>
      <c r="AC12" s="12" t="s">
        <v>387</v>
      </c>
    </row>
    <row r="13" spans="1:31">
      <c r="A13">
        <v>13.1</v>
      </c>
      <c r="B13" t="s">
        <v>332</v>
      </c>
      <c r="C13" t="s">
        <v>32</v>
      </c>
      <c r="D13" t="s">
        <v>87</v>
      </c>
      <c r="E13" t="s">
        <v>97</v>
      </c>
      <c r="F13" s="10">
        <v>41377</v>
      </c>
      <c r="G13" s="14" t="s">
        <v>145</v>
      </c>
      <c r="H13" t="s">
        <v>344</v>
      </c>
      <c r="I13" s="47" t="s">
        <v>40</v>
      </c>
      <c r="J13" t="s">
        <v>333</v>
      </c>
      <c r="K13">
        <v>0.39</v>
      </c>
      <c r="L13">
        <v>13.072060889999999</v>
      </c>
      <c r="M13">
        <v>85.9</v>
      </c>
      <c r="N13">
        <v>86.927939109999997</v>
      </c>
      <c r="O13">
        <v>82.3</v>
      </c>
      <c r="AC13" s="12" t="s">
        <v>387</v>
      </c>
    </row>
    <row r="14" spans="1:31">
      <c r="A14">
        <v>14.1</v>
      </c>
      <c r="B14" t="s">
        <v>332</v>
      </c>
      <c r="C14" t="s">
        <v>32</v>
      </c>
      <c r="D14" t="s">
        <v>87</v>
      </c>
      <c r="E14" t="s">
        <v>97</v>
      </c>
      <c r="F14" s="10">
        <v>41377</v>
      </c>
      <c r="G14" s="14" t="s">
        <v>145</v>
      </c>
      <c r="H14" t="s">
        <v>344</v>
      </c>
      <c r="I14" s="47" t="s">
        <v>40</v>
      </c>
      <c r="J14" t="s">
        <v>333</v>
      </c>
      <c r="K14">
        <v>0.85</v>
      </c>
      <c r="AC14" s="12" t="s">
        <v>387</v>
      </c>
    </row>
    <row r="15" spans="1:31">
      <c r="A15">
        <v>15.1</v>
      </c>
      <c r="B15" t="s">
        <v>332</v>
      </c>
      <c r="C15" t="s">
        <v>32</v>
      </c>
      <c r="D15" t="s">
        <v>87</v>
      </c>
      <c r="E15" t="s">
        <v>97</v>
      </c>
      <c r="F15" s="10">
        <v>41377</v>
      </c>
      <c r="G15" s="14" t="s">
        <v>145</v>
      </c>
      <c r="H15" t="s">
        <v>344</v>
      </c>
      <c r="I15" t="s">
        <v>331</v>
      </c>
      <c r="J15" t="s">
        <v>333</v>
      </c>
      <c r="K15">
        <v>0.53</v>
      </c>
      <c r="AC15" s="12" t="s">
        <v>387</v>
      </c>
    </row>
    <row r="16" spans="1:31">
      <c r="A16">
        <v>17.100000000000001</v>
      </c>
      <c r="B16" t="s">
        <v>332</v>
      </c>
      <c r="C16" t="s">
        <v>32</v>
      </c>
      <c r="D16" t="s">
        <v>87</v>
      </c>
      <c r="E16" t="s">
        <v>193</v>
      </c>
      <c r="F16" s="10">
        <v>41377</v>
      </c>
      <c r="G16" s="14" t="s">
        <v>145</v>
      </c>
      <c r="H16" t="s">
        <v>344</v>
      </c>
      <c r="I16" s="47" t="s">
        <v>40</v>
      </c>
      <c r="J16" t="s">
        <v>333</v>
      </c>
      <c r="K16">
        <v>0.65</v>
      </c>
      <c r="L16">
        <v>18.562174280000001</v>
      </c>
      <c r="M16">
        <v>85.7</v>
      </c>
      <c r="N16">
        <v>81.437825720000006</v>
      </c>
      <c r="O16">
        <v>82</v>
      </c>
      <c r="P16">
        <v>511.06141209999998</v>
      </c>
      <c r="Q16" s="44">
        <v>140.1362307</v>
      </c>
      <c r="R16">
        <v>7.5495590449999996</v>
      </c>
      <c r="S16">
        <v>261.50345320000002</v>
      </c>
      <c r="T16">
        <v>14.08797532</v>
      </c>
      <c r="U16">
        <v>22.070073369999999</v>
      </c>
      <c r="V16">
        <v>1.188981045</v>
      </c>
      <c r="W16">
        <v>5.6464842199999996</v>
      </c>
      <c r="X16">
        <v>0.30419304000000003</v>
      </c>
      <c r="Y16">
        <v>2.889232266</v>
      </c>
      <c r="Z16">
        <v>0.155651608</v>
      </c>
      <c r="AA16" t="s">
        <v>386</v>
      </c>
      <c r="AB16" s="48" t="s">
        <v>386</v>
      </c>
      <c r="AC16" s="12" t="s">
        <v>385</v>
      </c>
    </row>
    <row r="17" spans="1:31">
      <c r="A17">
        <v>18.100000000000001</v>
      </c>
      <c r="B17" t="s">
        <v>332</v>
      </c>
      <c r="C17" t="s">
        <v>32</v>
      </c>
      <c r="D17" t="s">
        <v>87</v>
      </c>
      <c r="E17" t="s">
        <v>193</v>
      </c>
      <c r="F17" s="10">
        <v>41377</v>
      </c>
      <c r="G17" s="14" t="s">
        <v>145</v>
      </c>
      <c r="H17" t="s">
        <v>344</v>
      </c>
      <c r="I17" s="47" t="s">
        <v>40</v>
      </c>
      <c r="J17" t="s">
        <v>333</v>
      </c>
      <c r="K17">
        <v>0.83</v>
      </c>
      <c r="L17">
        <v>31.312135420000001</v>
      </c>
      <c r="M17">
        <v>86.1</v>
      </c>
      <c r="N17">
        <v>68.687864579999996</v>
      </c>
      <c r="O17">
        <v>82.5</v>
      </c>
      <c r="P17">
        <v>193.65606220000001</v>
      </c>
      <c r="Q17" s="44">
        <v>337.1747881</v>
      </c>
      <c r="R17">
        <v>10.76818248</v>
      </c>
      <c r="S17">
        <v>130.75172660000001</v>
      </c>
      <c r="T17">
        <v>4.1757524630000002</v>
      </c>
      <c r="U17">
        <v>47.308237910000003</v>
      </c>
      <c r="V17">
        <v>1.510859521</v>
      </c>
      <c r="W17">
        <v>8.1719829120000007</v>
      </c>
      <c r="X17">
        <v>0.26098452900000002</v>
      </c>
      <c r="Y17">
        <v>7.1141243269999999</v>
      </c>
      <c r="Z17">
        <v>0.227200229</v>
      </c>
      <c r="AA17">
        <v>78.648800300000005</v>
      </c>
      <c r="AB17" s="48">
        <v>2.5117673790000001</v>
      </c>
      <c r="AC17" s="12" t="s">
        <v>385</v>
      </c>
    </row>
    <row r="18" spans="1:31">
      <c r="A18">
        <v>19.100000000000001</v>
      </c>
      <c r="B18" t="s">
        <v>332</v>
      </c>
      <c r="C18" t="s">
        <v>104</v>
      </c>
      <c r="D18" t="s">
        <v>105</v>
      </c>
      <c r="E18" t="s">
        <v>97</v>
      </c>
      <c r="F18" s="10">
        <v>41378</v>
      </c>
      <c r="G18" s="14" t="s">
        <v>145</v>
      </c>
      <c r="H18" t="s">
        <v>343</v>
      </c>
      <c r="I18" s="47" t="s">
        <v>40</v>
      </c>
      <c r="J18" t="s">
        <v>333</v>
      </c>
      <c r="K18">
        <v>0.83</v>
      </c>
      <c r="L18">
        <v>6.8443109509999998</v>
      </c>
      <c r="M18">
        <v>86.1</v>
      </c>
      <c r="N18">
        <v>93.155689050000007</v>
      </c>
      <c r="O18">
        <v>82.5</v>
      </c>
      <c r="P18">
        <v>44.140146739999999</v>
      </c>
      <c r="Q18" s="44">
        <v>68.467757399999996</v>
      </c>
      <c r="R18">
        <v>10.00360122</v>
      </c>
      <c r="S18">
        <v>321.94851549999998</v>
      </c>
      <c r="T18">
        <v>47.038849890000002</v>
      </c>
      <c r="U18">
        <v>7.9853345640000004</v>
      </c>
      <c r="V18">
        <v>1.1667112470000001</v>
      </c>
      <c r="W18">
        <v>1.584491061</v>
      </c>
      <c r="X18">
        <v>0.23150483299999999</v>
      </c>
      <c r="Y18">
        <v>1.2576113879999999</v>
      </c>
      <c r="Z18">
        <v>0.183745507</v>
      </c>
      <c r="AC18" s="52" t="s">
        <v>388</v>
      </c>
      <c r="AD18" s="54" t="s">
        <v>391</v>
      </c>
      <c r="AE18" s="54"/>
    </row>
    <row r="19" spans="1:31">
      <c r="A19">
        <v>20.100000000000001</v>
      </c>
      <c r="B19" t="s">
        <v>332</v>
      </c>
      <c r="C19" t="s">
        <v>104</v>
      </c>
      <c r="D19" t="s">
        <v>105</v>
      </c>
      <c r="E19" t="s">
        <v>197</v>
      </c>
      <c r="F19" s="10">
        <v>41378</v>
      </c>
      <c r="G19" s="14" t="s">
        <v>145</v>
      </c>
      <c r="H19" t="s">
        <v>343</v>
      </c>
      <c r="I19" s="47" t="s">
        <v>40</v>
      </c>
      <c r="J19" t="s">
        <v>333</v>
      </c>
      <c r="K19">
        <v>0.84</v>
      </c>
      <c r="L19">
        <v>14.4417049</v>
      </c>
      <c r="M19">
        <v>85.8</v>
      </c>
      <c r="N19">
        <v>85.558295099999995</v>
      </c>
      <c r="O19">
        <v>82.2</v>
      </c>
      <c r="P19">
        <v>58.243272810000001</v>
      </c>
      <c r="Q19" s="44">
        <v>17.92646998</v>
      </c>
      <c r="R19">
        <v>1.241298732</v>
      </c>
      <c r="S19">
        <v>23.113858130000001</v>
      </c>
      <c r="T19">
        <v>1.6004937290000001</v>
      </c>
      <c r="U19">
        <v>2.2931851700000001</v>
      </c>
      <c r="V19">
        <v>0.15878908899999999</v>
      </c>
      <c r="W19">
        <v>0.689689793</v>
      </c>
      <c r="X19">
        <v>4.7756812000000003E-2</v>
      </c>
      <c r="Y19">
        <v>0.101345424</v>
      </c>
      <c r="Z19">
        <v>7.0175530000000002E-3</v>
      </c>
      <c r="AA19">
        <v>4.5863703390000001</v>
      </c>
      <c r="AB19" s="48">
        <v>0.31757817900000002</v>
      </c>
      <c r="AC19" s="12" t="s">
        <v>385</v>
      </c>
    </row>
    <row r="20" spans="1:31">
      <c r="A20">
        <v>21.1</v>
      </c>
      <c r="B20" t="s">
        <v>332</v>
      </c>
      <c r="C20" t="s">
        <v>104</v>
      </c>
      <c r="D20" t="s">
        <v>105</v>
      </c>
      <c r="E20" t="s">
        <v>193</v>
      </c>
      <c r="F20" s="10">
        <v>41378</v>
      </c>
      <c r="G20" s="14" t="s">
        <v>145</v>
      </c>
      <c r="H20" t="s">
        <v>343</v>
      </c>
      <c r="I20" s="47" t="s">
        <v>40</v>
      </c>
      <c r="J20" t="s">
        <v>333</v>
      </c>
      <c r="K20">
        <v>0.51</v>
      </c>
      <c r="L20">
        <v>15.02211048</v>
      </c>
      <c r="M20">
        <v>85.9</v>
      </c>
      <c r="N20">
        <v>84.977889520000005</v>
      </c>
      <c r="O20">
        <v>82.4</v>
      </c>
      <c r="P20">
        <v>59.604644780000001</v>
      </c>
      <c r="Q20" s="44">
        <v>21.073424259999999</v>
      </c>
      <c r="R20">
        <v>1.4028271379999999</v>
      </c>
      <c r="S20">
        <v>103.77771420000001</v>
      </c>
      <c r="T20">
        <v>6.9083311759999999</v>
      </c>
      <c r="U20">
        <v>3.3188563520000001</v>
      </c>
      <c r="V20">
        <v>0.22093143000000001</v>
      </c>
      <c r="W20">
        <v>0.81076339200000003</v>
      </c>
      <c r="X20">
        <v>5.3971337000000001E-2</v>
      </c>
      <c r="Y20">
        <v>0.195786454</v>
      </c>
      <c r="Z20">
        <v>1.3033219E-2</v>
      </c>
      <c r="AB20" s="48">
        <v>2.5117673790000001</v>
      </c>
      <c r="AC20" s="12" t="s">
        <v>385</v>
      </c>
    </row>
    <row r="21" spans="1:31">
      <c r="A21">
        <v>22.1</v>
      </c>
      <c r="B21" t="s">
        <v>332</v>
      </c>
      <c r="C21" t="s">
        <v>104</v>
      </c>
      <c r="D21" t="s">
        <v>105</v>
      </c>
      <c r="E21" t="s">
        <v>193</v>
      </c>
      <c r="F21" s="10">
        <v>41378</v>
      </c>
      <c r="G21" s="14" t="s">
        <v>145</v>
      </c>
      <c r="H21" t="s">
        <v>343</v>
      </c>
      <c r="I21" t="s">
        <v>331</v>
      </c>
      <c r="J21" t="s">
        <v>333</v>
      </c>
      <c r="L21">
        <v>20</v>
      </c>
      <c r="M21">
        <v>85.7</v>
      </c>
      <c r="N21">
        <v>80</v>
      </c>
      <c r="O21">
        <v>82.2</v>
      </c>
      <c r="P21">
        <v>255.5307061</v>
      </c>
      <c r="Q21" s="44">
        <v>307.40983690000002</v>
      </c>
      <c r="R21">
        <v>15.37049184</v>
      </c>
      <c r="S21">
        <v>267.61580670000001</v>
      </c>
      <c r="T21">
        <v>13.38079033</v>
      </c>
      <c r="U21">
        <v>31.941338259999998</v>
      </c>
      <c r="V21">
        <v>1.5970669129999999</v>
      </c>
      <c r="W21">
        <v>5.6464842199999996</v>
      </c>
      <c r="X21">
        <v>0.28232421099999999</v>
      </c>
      <c r="Y21">
        <v>8.1719829120000007</v>
      </c>
      <c r="Z21">
        <v>0.40859914600000002</v>
      </c>
      <c r="AC21" s="12" t="s">
        <v>387</v>
      </c>
      <c r="AD21" t="s">
        <v>389</v>
      </c>
    </row>
    <row r="22" spans="1:31">
      <c r="A22">
        <v>23.1</v>
      </c>
      <c r="B22" t="s">
        <v>332</v>
      </c>
      <c r="C22" t="s">
        <v>104</v>
      </c>
      <c r="D22" t="s">
        <v>112</v>
      </c>
      <c r="E22" t="s">
        <v>197</v>
      </c>
      <c r="F22" s="10">
        <v>41378</v>
      </c>
      <c r="G22" t="s">
        <v>342</v>
      </c>
      <c r="H22" t="s">
        <v>344</v>
      </c>
      <c r="I22" s="47" t="s">
        <v>40</v>
      </c>
      <c r="J22" t="s">
        <v>333</v>
      </c>
      <c r="K22">
        <v>0.36</v>
      </c>
      <c r="L22">
        <v>34.368002580000002</v>
      </c>
      <c r="M22">
        <v>85.9</v>
      </c>
      <c r="N22">
        <v>65.631997420000005</v>
      </c>
      <c r="O22">
        <v>82.2</v>
      </c>
      <c r="P22">
        <v>172.5279376</v>
      </c>
      <c r="Q22" s="44">
        <v>387.31212440000002</v>
      </c>
      <c r="R22">
        <v>11.26955585</v>
      </c>
      <c r="S22">
        <v>273.87102959999999</v>
      </c>
      <c r="T22">
        <v>7.9687793600000001</v>
      </c>
      <c r="U22">
        <v>38.42622961</v>
      </c>
      <c r="V22">
        <v>1.1180815500000001</v>
      </c>
      <c r="W22">
        <v>5.2683560639999998</v>
      </c>
      <c r="X22">
        <v>0.15329247200000001</v>
      </c>
      <c r="Y22">
        <v>10.06089111</v>
      </c>
      <c r="Z22">
        <v>0.292740059</v>
      </c>
      <c r="AC22" s="12" t="s">
        <v>385</v>
      </c>
    </row>
    <row r="23" spans="1:31">
      <c r="A23">
        <v>24.1</v>
      </c>
      <c r="B23" t="s">
        <v>332</v>
      </c>
      <c r="C23" t="s">
        <v>104</v>
      </c>
      <c r="D23" t="s">
        <v>112</v>
      </c>
      <c r="E23" t="s">
        <v>197</v>
      </c>
      <c r="F23" s="10">
        <v>41378</v>
      </c>
      <c r="G23" s="14" t="s">
        <v>145</v>
      </c>
      <c r="H23" t="s">
        <v>344</v>
      </c>
      <c r="I23" s="47" t="s">
        <v>40</v>
      </c>
      <c r="J23" t="s">
        <v>333</v>
      </c>
      <c r="K23">
        <v>0.17</v>
      </c>
      <c r="L23">
        <v>19.27088049</v>
      </c>
      <c r="M23">
        <v>85.7</v>
      </c>
      <c r="N23">
        <v>80.729119510000004</v>
      </c>
      <c r="O23">
        <v>82</v>
      </c>
      <c r="P23">
        <v>1022.122824</v>
      </c>
      <c r="Q23" s="44">
        <v>150.1942932</v>
      </c>
      <c r="R23">
        <v>7.7938469560000003</v>
      </c>
      <c r="S23">
        <v>202.8148558</v>
      </c>
      <c r="T23">
        <v>10.52442082</v>
      </c>
      <c r="U23">
        <v>17.517028839999998</v>
      </c>
      <c r="V23">
        <v>0.90898954300000001</v>
      </c>
      <c r="W23">
        <v>2.515222777</v>
      </c>
      <c r="X23">
        <v>0.13051934900000001</v>
      </c>
      <c r="Y23">
        <v>2.6341780319999999</v>
      </c>
      <c r="Z23">
        <v>0.13669214700000001</v>
      </c>
      <c r="AC23" s="12" t="s">
        <v>385</v>
      </c>
    </row>
    <row r="24" spans="1:31">
      <c r="A24">
        <v>25.1</v>
      </c>
      <c r="B24" t="s">
        <v>332</v>
      </c>
      <c r="C24" t="s">
        <v>104</v>
      </c>
      <c r="D24" t="s">
        <v>112</v>
      </c>
      <c r="E24" t="s">
        <v>193</v>
      </c>
      <c r="F24" s="10">
        <v>41378</v>
      </c>
      <c r="G24" t="s">
        <v>342</v>
      </c>
      <c r="H24" t="s">
        <v>344</v>
      </c>
      <c r="I24" s="47" t="s">
        <v>40</v>
      </c>
      <c r="J24" t="s">
        <v>333</v>
      </c>
      <c r="K24">
        <v>0.86</v>
      </c>
      <c r="L24">
        <v>43.11259278</v>
      </c>
      <c r="M24">
        <v>86.2</v>
      </c>
      <c r="N24">
        <v>56.88740722</v>
      </c>
      <c r="O24">
        <v>82.5</v>
      </c>
      <c r="P24">
        <v>1121.0898460000001</v>
      </c>
      <c r="Q24" s="44">
        <v>160.97425770000001</v>
      </c>
      <c r="R24">
        <v>3.7338106419999999</v>
      </c>
      <c r="S24">
        <v>63.882676510000003</v>
      </c>
      <c r="T24">
        <v>1.4817637349999999</v>
      </c>
      <c r="U24">
        <v>26.55085081</v>
      </c>
      <c r="V24">
        <v>0.61584908500000002</v>
      </c>
      <c r="W24">
        <v>3.0258759720000001</v>
      </c>
      <c r="X24">
        <v>7.0185433000000005E-2</v>
      </c>
      <c r="Y24">
        <v>2.889232266</v>
      </c>
      <c r="Z24">
        <v>6.7015970999999994E-2</v>
      </c>
      <c r="AA24">
        <v>38.42622961</v>
      </c>
      <c r="AB24" s="48">
        <v>0.89129943599999994</v>
      </c>
      <c r="AC24" s="12" t="s">
        <v>385</v>
      </c>
    </row>
    <row r="25" spans="1:31">
      <c r="A25">
        <v>26.1</v>
      </c>
      <c r="B25" t="s">
        <v>332</v>
      </c>
      <c r="C25" t="s">
        <v>104</v>
      </c>
      <c r="D25" t="s">
        <v>119</v>
      </c>
      <c r="E25" t="s">
        <v>193</v>
      </c>
      <c r="F25" s="10">
        <v>41378</v>
      </c>
      <c r="G25" s="14" t="s">
        <v>145</v>
      </c>
      <c r="H25" t="s">
        <v>341</v>
      </c>
      <c r="I25" s="47" t="s">
        <v>40</v>
      </c>
      <c r="J25" t="s">
        <v>345</v>
      </c>
      <c r="K25">
        <v>1.1000000000000001</v>
      </c>
      <c r="L25">
        <v>36.481689430000003</v>
      </c>
      <c r="M25">
        <v>86.2</v>
      </c>
      <c r="N25">
        <v>63.518310569999997</v>
      </c>
      <c r="O25">
        <v>82.5</v>
      </c>
      <c r="P25">
        <v>1046.013813</v>
      </c>
      <c r="Q25" s="44">
        <v>255.5307061</v>
      </c>
      <c r="R25">
        <v>7.0043550630000002</v>
      </c>
      <c r="S25">
        <v>93.529712900000007</v>
      </c>
      <c r="T25">
        <v>2.5637440140000001</v>
      </c>
      <c r="U25">
        <v>42.146848509999998</v>
      </c>
      <c r="V25">
        <v>1.155287739</v>
      </c>
      <c r="W25">
        <v>6.4861071360000002</v>
      </c>
      <c r="X25">
        <v>0.17779075599999999</v>
      </c>
      <c r="Y25">
        <v>7.4505805970000001</v>
      </c>
      <c r="Z25">
        <v>0.20422794899999999</v>
      </c>
      <c r="AA25">
        <v>36.690962710000001</v>
      </c>
      <c r="AB25" s="48">
        <v>1.005736392</v>
      </c>
      <c r="AC25" s="12" t="s">
        <v>385</v>
      </c>
    </row>
    <row r="26" spans="1:31">
      <c r="A26">
        <v>27.1</v>
      </c>
      <c r="B26" t="s">
        <v>332</v>
      </c>
      <c r="C26" t="s">
        <v>104</v>
      </c>
      <c r="D26" t="s">
        <v>119</v>
      </c>
      <c r="E26" t="s">
        <v>197</v>
      </c>
      <c r="F26" s="10">
        <v>41378</v>
      </c>
      <c r="G26" s="14" t="s">
        <v>145</v>
      </c>
      <c r="H26" t="s">
        <v>341</v>
      </c>
      <c r="I26" s="47" t="s">
        <v>40</v>
      </c>
      <c r="J26" t="s">
        <v>333</v>
      </c>
      <c r="K26">
        <v>0.86</v>
      </c>
      <c r="L26">
        <v>23.12164611</v>
      </c>
      <c r="M26">
        <v>85.8</v>
      </c>
      <c r="N26">
        <v>76.87835389</v>
      </c>
      <c r="O26">
        <v>82.4</v>
      </c>
      <c r="P26">
        <v>830.22171330000003</v>
      </c>
      <c r="Q26" s="44">
        <v>455.3039569</v>
      </c>
      <c r="R26">
        <v>19.691675700000001</v>
      </c>
      <c r="S26">
        <v>238.41857909999999</v>
      </c>
      <c r="T26">
        <v>10.311488110000001</v>
      </c>
      <c r="U26">
        <v>29.80232239</v>
      </c>
      <c r="V26">
        <v>1.2889360139999999</v>
      </c>
      <c r="W26">
        <v>5.0304455539999999</v>
      </c>
      <c r="X26">
        <v>0.217564335</v>
      </c>
      <c r="Y26">
        <v>9.3871433280000005</v>
      </c>
      <c r="Z26">
        <v>0.405989404</v>
      </c>
      <c r="AA26">
        <v>71.705879929999995</v>
      </c>
      <c r="AB26" s="48">
        <v>3.1012445899999999</v>
      </c>
      <c r="AC26" s="12" t="s">
        <v>385</v>
      </c>
    </row>
    <row r="27" spans="1:31">
      <c r="A27">
        <v>28.1</v>
      </c>
      <c r="B27" t="s">
        <v>332</v>
      </c>
      <c r="C27" t="s">
        <v>104</v>
      </c>
      <c r="D27" t="s">
        <v>119</v>
      </c>
      <c r="E27" t="s">
        <v>193</v>
      </c>
      <c r="F27" s="10">
        <v>41378</v>
      </c>
      <c r="G27" s="14" t="s">
        <v>145</v>
      </c>
      <c r="H27" t="s">
        <v>341</v>
      </c>
      <c r="I27" s="47" t="s">
        <v>40</v>
      </c>
      <c r="J27" t="s">
        <v>333</v>
      </c>
      <c r="K27">
        <v>0.56999999999999995</v>
      </c>
      <c r="L27">
        <v>16.878840289999999</v>
      </c>
      <c r="M27">
        <v>85.9</v>
      </c>
      <c r="N27">
        <v>83.121159710000001</v>
      </c>
      <c r="O27">
        <v>82.3</v>
      </c>
      <c r="P27">
        <v>70.068115370000001</v>
      </c>
      <c r="Q27" s="44">
        <v>280.27246150000002</v>
      </c>
      <c r="R27">
        <v>16.604959619999999</v>
      </c>
      <c r="S27">
        <v>164.73685259999999</v>
      </c>
      <c r="T27">
        <v>9.7599627590000004</v>
      </c>
      <c r="U27">
        <v>21.073424259999999</v>
      </c>
      <c r="V27">
        <v>1.2485113839999999</v>
      </c>
      <c r="W27">
        <v>7.9853345640000004</v>
      </c>
      <c r="X27">
        <v>0.473097347</v>
      </c>
      <c r="Y27">
        <v>8.3629939580000006</v>
      </c>
      <c r="Z27">
        <v>0.49547207100000001</v>
      </c>
      <c r="AC27" s="12" t="s">
        <v>385</v>
      </c>
    </row>
    <row r="28" spans="1:31">
      <c r="A28">
        <v>29.1</v>
      </c>
      <c r="B28" t="s">
        <v>332</v>
      </c>
      <c r="C28" t="s">
        <v>104</v>
      </c>
      <c r="D28" t="s">
        <v>119</v>
      </c>
      <c r="E28" t="s">
        <v>193</v>
      </c>
      <c r="F28" s="10">
        <v>41378</v>
      </c>
      <c r="G28" s="14" t="s">
        <v>145</v>
      </c>
      <c r="H28" t="s">
        <v>341</v>
      </c>
      <c r="I28" s="47" t="s">
        <v>40</v>
      </c>
      <c r="J28" t="s">
        <v>333</v>
      </c>
      <c r="K28">
        <v>1.2</v>
      </c>
      <c r="L28">
        <v>20</v>
      </c>
      <c r="M28">
        <v>85.7</v>
      </c>
      <c r="N28">
        <v>80</v>
      </c>
      <c r="O28">
        <v>82.2</v>
      </c>
      <c r="P28">
        <v>511.06141209999998</v>
      </c>
      <c r="AC28" s="12" t="s">
        <v>387</v>
      </c>
    </row>
    <row r="29" spans="1:31">
      <c r="A29">
        <v>30.1</v>
      </c>
      <c r="B29" t="s">
        <v>332</v>
      </c>
      <c r="C29" t="s">
        <v>104</v>
      </c>
      <c r="D29" t="s">
        <v>119</v>
      </c>
      <c r="E29" t="s">
        <v>193</v>
      </c>
      <c r="F29" s="10">
        <v>41378</v>
      </c>
      <c r="G29" s="14" t="s">
        <v>145</v>
      </c>
      <c r="H29" t="s">
        <v>341</v>
      </c>
      <c r="I29" s="47" t="s">
        <v>40</v>
      </c>
      <c r="J29" t="s">
        <v>333</v>
      </c>
      <c r="K29">
        <v>0.71</v>
      </c>
      <c r="L29">
        <v>48.267825520000002</v>
      </c>
      <c r="M29">
        <v>85.7</v>
      </c>
      <c r="N29">
        <v>51.732174479999998</v>
      </c>
      <c r="O29">
        <v>82</v>
      </c>
      <c r="P29">
        <v>953.67431639999995</v>
      </c>
      <c r="Q29" s="44">
        <v>0.307221876</v>
      </c>
      <c r="R29">
        <v>6.3649409999999998E-3</v>
      </c>
      <c r="AC29" s="12" t="s">
        <v>387</v>
      </c>
    </row>
    <row r="30" spans="1:31">
      <c r="A30">
        <v>31.1</v>
      </c>
      <c r="B30" t="s">
        <v>332</v>
      </c>
      <c r="C30" t="s">
        <v>104</v>
      </c>
      <c r="D30" t="s">
        <v>127</v>
      </c>
      <c r="E30" t="s">
        <v>193</v>
      </c>
      <c r="F30" s="10">
        <v>41379</v>
      </c>
      <c r="G30" s="14" t="s">
        <v>145</v>
      </c>
      <c r="H30" t="s">
        <v>343</v>
      </c>
      <c r="I30" s="47" t="s">
        <v>40</v>
      </c>
      <c r="J30" t="s">
        <v>333</v>
      </c>
      <c r="K30">
        <v>0.79</v>
      </c>
      <c r="L30">
        <v>28.410365339999998</v>
      </c>
      <c r="M30">
        <v>86.2</v>
      </c>
      <c r="N30">
        <v>71.589634660000002</v>
      </c>
      <c r="O30">
        <v>82.5</v>
      </c>
      <c r="P30">
        <v>314.59520120000002</v>
      </c>
      <c r="Q30" s="44">
        <v>176.560587</v>
      </c>
      <c r="R30">
        <v>6.2146538720000004</v>
      </c>
      <c r="S30">
        <v>193.65606220000001</v>
      </c>
      <c r="T30">
        <v>6.8163876070000002</v>
      </c>
      <c r="U30">
        <v>43.1319844</v>
      </c>
      <c r="V30">
        <v>1.518177745</v>
      </c>
      <c r="W30">
        <v>6.4861071360000002</v>
      </c>
      <c r="X30">
        <v>0.22830073000000001</v>
      </c>
      <c r="Y30">
        <v>1.58</v>
      </c>
      <c r="Z30">
        <v>5.5771583E-2</v>
      </c>
      <c r="AA30">
        <v>42.146848509999998</v>
      </c>
      <c r="AB30" s="48">
        <v>1.4835025180000001</v>
      </c>
      <c r="AC30" s="12" t="s">
        <v>385</v>
      </c>
    </row>
    <row r="31" spans="1:31">
      <c r="A31">
        <v>32.1</v>
      </c>
      <c r="B31" t="s">
        <v>332</v>
      </c>
      <c r="C31" t="s">
        <v>104</v>
      </c>
      <c r="D31" t="s">
        <v>127</v>
      </c>
      <c r="E31" t="s">
        <v>193</v>
      </c>
      <c r="F31" s="10">
        <v>41379</v>
      </c>
      <c r="G31" s="14" t="s">
        <v>145</v>
      </c>
      <c r="H31" t="s">
        <v>343</v>
      </c>
      <c r="I31" s="47" t="s">
        <v>129</v>
      </c>
      <c r="J31" t="s">
        <v>333</v>
      </c>
      <c r="K31">
        <v>0.14000000000000001</v>
      </c>
      <c r="L31">
        <v>34.368002580000002</v>
      </c>
      <c r="M31">
        <v>85.8</v>
      </c>
      <c r="N31">
        <v>65.631997420000005</v>
      </c>
      <c r="O31">
        <v>82.1</v>
      </c>
      <c r="P31">
        <v>405.62971160000001</v>
      </c>
      <c r="AC31" s="12" t="s">
        <v>387</v>
      </c>
    </row>
    <row r="32" spans="1:31">
      <c r="A32">
        <v>33.1</v>
      </c>
      <c r="B32" t="s">
        <v>332</v>
      </c>
      <c r="C32" t="s">
        <v>104</v>
      </c>
      <c r="D32" t="s">
        <v>131</v>
      </c>
      <c r="E32" t="s">
        <v>193</v>
      </c>
      <c r="F32" s="10">
        <v>41379</v>
      </c>
      <c r="G32" s="14" t="s">
        <v>145</v>
      </c>
      <c r="H32" t="s">
        <v>344</v>
      </c>
      <c r="I32" s="47" t="s">
        <v>40</v>
      </c>
      <c r="J32" t="s">
        <v>333</v>
      </c>
      <c r="K32">
        <v>1.3</v>
      </c>
      <c r="L32">
        <v>9.8139406010000005</v>
      </c>
      <c r="M32">
        <v>85.9</v>
      </c>
      <c r="N32">
        <v>90.186059400000005</v>
      </c>
      <c r="O32">
        <v>82.3</v>
      </c>
      <c r="P32">
        <v>4806.2173839999996</v>
      </c>
      <c r="AC32" s="12" t="s">
        <v>387</v>
      </c>
    </row>
    <row r="33" spans="1:31">
      <c r="A33">
        <v>34.1</v>
      </c>
      <c r="B33" t="s">
        <v>332</v>
      </c>
      <c r="C33" t="s">
        <v>104</v>
      </c>
      <c r="D33" t="s">
        <v>131</v>
      </c>
      <c r="E33" t="s">
        <v>193</v>
      </c>
      <c r="F33" s="10">
        <v>41379</v>
      </c>
      <c r="G33" s="14" t="s">
        <v>145</v>
      </c>
      <c r="H33" t="s">
        <v>344</v>
      </c>
      <c r="I33" s="47" t="s">
        <v>40</v>
      </c>
      <c r="J33" t="s">
        <v>333</v>
      </c>
      <c r="K33">
        <v>1.2</v>
      </c>
      <c r="L33">
        <v>11.81437639</v>
      </c>
      <c r="M33">
        <v>85.8</v>
      </c>
      <c r="N33">
        <v>88.185623609999993</v>
      </c>
      <c r="O33">
        <v>82.4</v>
      </c>
      <c r="P33">
        <v>314.59520120000002</v>
      </c>
      <c r="AC33" s="12" t="s">
        <v>387</v>
      </c>
    </row>
    <row r="34" spans="1:31">
      <c r="A34">
        <v>35.200000000000003</v>
      </c>
      <c r="B34" t="s">
        <v>332</v>
      </c>
      <c r="C34" t="s">
        <v>104</v>
      </c>
      <c r="D34" t="s">
        <v>131</v>
      </c>
      <c r="E34" t="s">
        <v>193</v>
      </c>
      <c r="F34" s="10">
        <v>41379</v>
      </c>
      <c r="G34" s="14" t="s">
        <v>145</v>
      </c>
      <c r="H34" t="s">
        <v>344</v>
      </c>
      <c r="I34" s="47" t="s">
        <v>40</v>
      </c>
      <c r="J34" t="s">
        <v>333</v>
      </c>
      <c r="K34">
        <v>0.7</v>
      </c>
      <c r="L34">
        <v>21.132124109999999</v>
      </c>
      <c r="M34">
        <v>85.8</v>
      </c>
      <c r="N34">
        <v>78.867875889999993</v>
      </c>
      <c r="O34">
        <v>82.1</v>
      </c>
      <c r="P34">
        <v>50.703713950000001</v>
      </c>
      <c r="AC34" s="12" t="s">
        <v>387</v>
      </c>
    </row>
    <row r="35" spans="1:31">
      <c r="A35">
        <v>36.1</v>
      </c>
      <c r="B35" t="s">
        <v>332</v>
      </c>
      <c r="C35" t="s">
        <v>104</v>
      </c>
      <c r="D35" t="s">
        <v>134</v>
      </c>
      <c r="E35" t="s">
        <v>197</v>
      </c>
      <c r="F35" s="10">
        <v>41380</v>
      </c>
      <c r="G35" t="s">
        <v>342</v>
      </c>
      <c r="H35" t="s">
        <v>343</v>
      </c>
      <c r="I35" s="47" t="s">
        <v>40</v>
      </c>
      <c r="J35" t="s">
        <v>333</v>
      </c>
      <c r="K35">
        <v>3.3</v>
      </c>
      <c r="AC35" s="12" t="s">
        <v>387</v>
      </c>
    </row>
    <row r="36" spans="1:31">
      <c r="A36">
        <v>37.1</v>
      </c>
      <c r="B36" t="s">
        <v>332</v>
      </c>
      <c r="C36" t="s">
        <v>104</v>
      </c>
      <c r="D36" t="s">
        <v>136</v>
      </c>
      <c r="E36" t="s">
        <v>197</v>
      </c>
      <c r="F36" s="10">
        <v>41380</v>
      </c>
      <c r="G36" t="s">
        <v>342</v>
      </c>
      <c r="H36" t="s">
        <v>344</v>
      </c>
      <c r="I36" s="47" t="s">
        <v>40</v>
      </c>
      <c r="J36" t="s">
        <v>333</v>
      </c>
      <c r="L36">
        <v>25.238535039999999</v>
      </c>
      <c r="M36">
        <v>85.9</v>
      </c>
      <c r="N36">
        <v>74.761464959999998</v>
      </c>
      <c r="O36">
        <v>82.3</v>
      </c>
      <c r="P36">
        <v>405.62971160000001</v>
      </c>
      <c r="AC36" s="12" t="s">
        <v>387</v>
      </c>
    </row>
    <row r="37" spans="1:31">
      <c r="A37">
        <v>46.1</v>
      </c>
      <c r="B37" t="s">
        <v>332</v>
      </c>
      <c r="C37" t="s">
        <v>157</v>
      </c>
      <c r="D37" t="s">
        <v>158</v>
      </c>
      <c r="E37" t="s">
        <v>174</v>
      </c>
      <c r="F37" s="10">
        <v>41384</v>
      </c>
      <c r="G37" s="14" t="s">
        <v>145</v>
      </c>
      <c r="H37" t="s">
        <v>343</v>
      </c>
      <c r="I37" s="47" t="s">
        <v>141</v>
      </c>
      <c r="J37" t="s">
        <v>346</v>
      </c>
      <c r="K37">
        <v>1.4</v>
      </c>
      <c r="L37">
        <v>22.310461320000002</v>
      </c>
      <c r="M37">
        <v>85.7</v>
      </c>
      <c r="N37">
        <v>77.689538679999998</v>
      </c>
      <c r="O37">
        <v>82.2</v>
      </c>
      <c r="P37">
        <v>1095.4841180000001</v>
      </c>
      <c r="Q37" s="44">
        <v>314.59520120000002</v>
      </c>
      <c r="R37">
        <v>14.1007932</v>
      </c>
      <c r="S37">
        <v>176.560587</v>
      </c>
      <c r="T37">
        <v>7.913802607</v>
      </c>
      <c r="U37">
        <v>90.343747530000002</v>
      </c>
      <c r="V37">
        <v>4.049389487</v>
      </c>
      <c r="W37">
        <v>5.0304455539999999</v>
      </c>
      <c r="Y37">
        <v>7.9853345640000004</v>
      </c>
      <c r="AA37">
        <v>90.343747530000002</v>
      </c>
      <c r="AB37" s="48">
        <v>4.049389487</v>
      </c>
      <c r="AC37" s="12" t="s">
        <v>387</v>
      </c>
      <c r="AD37" t="s">
        <v>390</v>
      </c>
    </row>
    <row r="38" spans="1:31">
      <c r="A38">
        <v>47.1</v>
      </c>
      <c r="B38" t="s">
        <v>332</v>
      </c>
      <c r="C38" t="s">
        <v>157</v>
      </c>
      <c r="D38" t="s">
        <v>158</v>
      </c>
      <c r="E38" t="s">
        <v>193</v>
      </c>
      <c r="F38" s="10">
        <v>41384</v>
      </c>
      <c r="G38" t="s">
        <v>342</v>
      </c>
      <c r="H38" t="s">
        <v>343</v>
      </c>
      <c r="I38" s="47" t="s">
        <v>141</v>
      </c>
      <c r="J38" t="s">
        <v>333</v>
      </c>
      <c r="K38">
        <v>0.47</v>
      </c>
      <c r="L38">
        <v>20.372242119999999</v>
      </c>
      <c r="M38">
        <v>85.6</v>
      </c>
      <c r="N38">
        <v>79.627757880000004</v>
      </c>
      <c r="O38">
        <v>81.900000000000006</v>
      </c>
      <c r="P38">
        <v>889.80960040000002</v>
      </c>
      <c r="Q38" s="44">
        <v>136.93551479999999</v>
      </c>
      <c r="R38">
        <v>6.7216712809999999</v>
      </c>
      <c r="S38">
        <v>157.29760060000001</v>
      </c>
      <c r="T38">
        <v>7.7211727430000003</v>
      </c>
      <c r="U38">
        <v>55.613100019999997</v>
      </c>
      <c r="V38">
        <v>2.729846803</v>
      </c>
      <c r="W38">
        <v>2.8232421099999998</v>
      </c>
      <c r="X38">
        <v>0.225474744</v>
      </c>
      <c r="Y38">
        <v>3.725290298</v>
      </c>
      <c r="Z38">
        <v>0.35791884600000001</v>
      </c>
      <c r="AC38" s="12" t="s">
        <v>385</v>
      </c>
    </row>
    <row r="39" spans="1:31">
      <c r="A39">
        <v>48.1</v>
      </c>
      <c r="B39" t="s">
        <v>332</v>
      </c>
      <c r="C39" t="s">
        <v>157</v>
      </c>
      <c r="D39" t="s">
        <v>158</v>
      </c>
      <c r="E39" t="s">
        <v>174</v>
      </c>
      <c r="F39" s="10">
        <v>41384</v>
      </c>
      <c r="G39" s="14" t="s">
        <v>145</v>
      </c>
      <c r="H39" t="s">
        <v>344</v>
      </c>
      <c r="I39" t="s">
        <v>331</v>
      </c>
      <c r="J39" t="s">
        <v>333</v>
      </c>
      <c r="K39">
        <v>1</v>
      </c>
      <c r="L39">
        <v>17.873760919999999</v>
      </c>
      <c r="M39">
        <v>85.7</v>
      </c>
      <c r="N39">
        <v>82.126239080000005</v>
      </c>
      <c r="O39">
        <v>82</v>
      </c>
      <c r="P39">
        <v>146.7638508</v>
      </c>
      <c r="Q39" s="44">
        <v>76.85245922</v>
      </c>
      <c r="R39">
        <v>4.2997363310000001</v>
      </c>
      <c r="S39">
        <v>405.62971160000001</v>
      </c>
      <c r="T39">
        <v>22.69414441</v>
      </c>
      <c r="U39">
        <v>30.49891865</v>
      </c>
      <c r="V39">
        <v>1.706351494</v>
      </c>
      <c r="W39">
        <v>1.9963336410000001</v>
      </c>
      <c r="X39">
        <v>0.13858278800000001</v>
      </c>
      <c r="Y39">
        <v>2.515222777</v>
      </c>
      <c r="Z39">
        <v>0.18286108500000001</v>
      </c>
      <c r="AC39" s="12" t="s">
        <v>385</v>
      </c>
    </row>
    <row r="40" spans="1:31">
      <c r="A40">
        <v>49.1</v>
      </c>
      <c r="B40" t="s">
        <v>332</v>
      </c>
      <c r="C40" t="s">
        <v>157</v>
      </c>
      <c r="D40" t="s">
        <v>158</v>
      </c>
      <c r="E40" t="s">
        <v>197</v>
      </c>
      <c r="F40" s="10">
        <v>41384</v>
      </c>
      <c r="G40" s="14" t="s">
        <v>145</v>
      </c>
      <c r="H40" t="s">
        <v>344</v>
      </c>
      <c r="I40" s="47" t="s">
        <v>141</v>
      </c>
      <c r="J40" t="s">
        <v>333</v>
      </c>
      <c r="K40">
        <v>1</v>
      </c>
      <c r="L40">
        <v>28.410365339999998</v>
      </c>
      <c r="M40">
        <v>85.8</v>
      </c>
      <c r="N40">
        <v>71.589634660000002</v>
      </c>
      <c r="O40">
        <v>82.1</v>
      </c>
      <c r="P40">
        <v>931.89236489999996</v>
      </c>
      <c r="Q40" s="44">
        <v>261.50345320000002</v>
      </c>
      <c r="R40">
        <v>9.2045086380000001</v>
      </c>
      <c r="S40">
        <v>238.41857909999999</v>
      </c>
      <c r="T40">
        <v>8.3919575210000001</v>
      </c>
      <c r="U40">
        <v>108.68579010000001</v>
      </c>
      <c r="V40">
        <v>3.8255681969999999</v>
      </c>
      <c r="W40">
        <v>3.9926672820000002</v>
      </c>
      <c r="X40">
        <v>0.111690743</v>
      </c>
      <c r="Y40">
        <v>7.9853345640000004</v>
      </c>
      <c r="Z40">
        <v>0.14072151799999999</v>
      </c>
      <c r="AA40">
        <v>93.529712900000007</v>
      </c>
      <c r="AB40" s="48">
        <v>3.2920982109999999</v>
      </c>
      <c r="AC40" s="12" t="s">
        <v>385</v>
      </c>
    </row>
    <row r="41" spans="1:31">
      <c r="A41">
        <v>50.1</v>
      </c>
      <c r="B41" t="s">
        <v>332</v>
      </c>
      <c r="C41" t="s">
        <v>157</v>
      </c>
      <c r="D41" t="s">
        <v>166</v>
      </c>
      <c r="E41" t="s">
        <v>174</v>
      </c>
      <c r="F41" s="10">
        <v>41384</v>
      </c>
      <c r="G41" t="s">
        <v>342</v>
      </c>
      <c r="H41" t="s">
        <v>344</v>
      </c>
      <c r="I41" s="47" t="s">
        <v>141</v>
      </c>
      <c r="J41" t="s">
        <v>333</v>
      </c>
      <c r="K41">
        <v>0.13</v>
      </c>
      <c r="L41">
        <v>8.1210303140000004</v>
      </c>
      <c r="M41">
        <v>85.8</v>
      </c>
      <c r="N41">
        <v>91.878969690000005</v>
      </c>
      <c r="O41">
        <v>82.1</v>
      </c>
      <c r="P41">
        <v>70.882267650000003</v>
      </c>
      <c r="Q41" s="44">
        <v>58.243272810000001</v>
      </c>
      <c r="R41">
        <v>7.1719068339999996</v>
      </c>
      <c r="S41">
        <v>222.45240010000001</v>
      </c>
      <c r="T41">
        <v>27.392140099999999</v>
      </c>
      <c r="U41">
        <v>23.113858130000001</v>
      </c>
      <c r="V41">
        <v>2.8461731129999999</v>
      </c>
      <c r="W41">
        <v>1.566291629</v>
      </c>
      <c r="X41">
        <v>0.14053558399999999</v>
      </c>
      <c r="Y41">
        <v>1.4116210549999999</v>
      </c>
      <c r="Z41">
        <v>0.28107116799999998</v>
      </c>
      <c r="AA41">
        <v>19.662200070000001</v>
      </c>
      <c r="AB41" s="48">
        <v>2.421146002</v>
      </c>
      <c r="AC41" s="12" t="s">
        <v>385</v>
      </c>
    </row>
    <row r="42" spans="1:31">
      <c r="A42">
        <v>51.1</v>
      </c>
      <c r="B42" t="s">
        <v>332</v>
      </c>
      <c r="C42" t="s">
        <v>157</v>
      </c>
      <c r="D42" t="s">
        <v>166</v>
      </c>
      <c r="E42" t="s">
        <v>197</v>
      </c>
      <c r="F42" s="10">
        <v>41384</v>
      </c>
      <c r="G42" s="14" t="s">
        <v>145</v>
      </c>
      <c r="H42" t="s">
        <v>344</v>
      </c>
      <c r="I42" s="47" t="s">
        <v>141</v>
      </c>
      <c r="J42" t="s">
        <v>333</v>
      </c>
      <c r="K42">
        <v>0.13</v>
      </c>
      <c r="L42">
        <v>12.304376189999999</v>
      </c>
      <c r="M42">
        <v>86</v>
      </c>
      <c r="N42">
        <v>87.695623810000001</v>
      </c>
      <c r="O42">
        <v>82.6</v>
      </c>
      <c r="P42">
        <v>150.1942932</v>
      </c>
      <c r="Q42" s="44">
        <v>150.1942932</v>
      </c>
      <c r="R42">
        <v>12.2065752</v>
      </c>
      <c r="S42">
        <v>133.80790329999999</v>
      </c>
      <c r="T42">
        <v>10.874822200000001</v>
      </c>
      <c r="U42">
        <v>55.613100019999997</v>
      </c>
      <c r="V42">
        <v>4.5197821620000003</v>
      </c>
      <c r="W42">
        <v>3.357419605</v>
      </c>
      <c r="X42">
        <v>0.19286858500000001</v>
      </c>
      <c r="Y42">
        <v>4.3792572109999996</v>
      </c>
      <c r="Z42">
        <v>0.173822902</v>
      </c>
      <c r="AC42" s="52" t="s">
        <v>388</v>
      </c>
      <c r="AD42" s="54" t="s">
        <v>392</v>
      </c>
      <c r="AE42" s="54"/>
    </row>
    <row r="43" spans="1:31">
      <c r="A43">
        <v>53.1</v>
      </c>
      <c r="B43" t="s">
        <v>332</v>
      </c>
      <c r="C43" t="s">
        <v>157</v>
      </c>
      <c r="D43" t="s">
        <v>175</v>
      </c>
      <c r="E43" t="s">
        <v>97</v>
      </c>
      <c r="F43" s="10">
        <v>41385</v>
      </c>
      <c r="G43" s="14" t="s">
        <v>145</v>
      </c>
      <c r="H43" t="s">
        <v>343</v>
      </c>
      <c r="I43" s="47" t="s">
        <v>141</v>
      </c>
      <c r="J43" t="s">
        <v>333</v>
      </c>
      <c r="K43">
        <v>3.9</v>
      </c>
      <c r="L43">
        <v>10.444750320000001</v>
      </c>
      <c r="M43">
        <v>85.7</v>
      </c>
      <c r="N43">
        <v>89.555249680000003</v>
      </c>
      <c r="O43">
        <v>82.1</v>
      </c>
      <c r="P43">
        <v>101.4074279</v>
      </c>
      <c r="X43">
        <v>0.27286386200000001</v>
      </c>
      <c r="Z43">
        <v>0.35591054300000002</v>
      </c>
      <c r="AC43" s="12" t="s">
        <v>387</v>
      </c>
    </row>
    <row r="44" spans="1:31">
      <c r="A44">
        <v>54.2</v>
      </c>
      <c r="B44" t="s">
        <v>332</v>
      </c>
      <c r="C44" t="s">
        <v>157</v>
      </c>
      <c r="D44" t="s">
        <v>171</v>
      </c>
      <c r="E44" t="s">
        <v>97</v>
      </c>
      <c r="F44" s="10">
        <v>41384</v>
      </c>
      <c r="G44" s="14" t="s">
        <v>145</v>
      </c>
      <c r="H44" t="s">
        <v>341</v>
      </c>
      <c r="I44" s="47" t="s">
        <v>129</v>
      </c>
      <c r="J44" t="s">
        <v>333</v>
      </c>
      <c r="K44">
        <v>0.13</v>
      </c>
      <c r="L44">
        <v>13.88006146</v>
      </c>
      <c r="M44">
        <v>85.6</v>
      </c>
      <c r="N44">
        <v>86.119938540000007</v>
      </c>
      <c r="O44">
        <v>81.900000000000006</v>
      </c>
      <c r="P44">
        <v>4696.4432269999998</v>
      </c>
      <c r="Q44" s="44">
        <v>50.703713950000001</v>
      </c>
      <c r="R44">
        <v>3.652989152</v>
      </c>
      <c r="S44">
        <v>101.4074279</v>
      </c>
      <c r="T44">
        <v>7.3059783029999998</v>
      </c>
      <c r="U44">
        <v>14.5608182</v>
      </c>
      <c r="V44">
        <v>1.049045657</v>
      </c>
      <c r="W44">
        <v>2.1396174189999999</v>
      </c>
      <c r="Y44">
        <v>0.73070088200000005</v>
      </c>
      <c r="AC44" s="12" t="s">
        <v>387</v>
      </c>
    </row>
    <row r="45" spans="1:31">
      <c r="A45">
        <v>55.1</v>
      </c>
      <c r="B45" t="s">
        <v>332</v>
      </c>
      <c r="C45" t="s">
        <v>157</v>
      </c>
      <c r="D45" t="s">
        <v>171</v>
      </c>
      <c r="E45" t="s">
        <v>174</v>
      </c>
      <c r="F45" s="10">
        <v>41384</v>
      </c>
      <c r="G45" s="14" t="s">
        <v>145</v>
      </c>
      <c r="H45" t="s">
        <v>341</v>
      </c>
      <c r="I45" s="47" t="s">
        <v>141</v>
      </c>
      <c r="J45" t="s">
        <v>333</v>
      </c>
      <c r="K45">
        <v>0.28999999999999998</v>
      </c>
      <c r="L45">
        <v>17.873760919999999</v>
      </c>
      <c r="M45">
        <v>85.9</v>
      </c>
      <c r="N45">
        <v>82.126239080000005</v>
      </c>
      <c r="O45">
        <v>82.3</v>
      </c>
      <c r="P45">
        <v>690.11175030000004</v>
      </c>
      <c r="Q45" s="44">
        <v>157.29760060000001</v>
      </c>
      <c r="R45">
        <v>8.8004758079999998</v>
      </c>
      <c r="S45">
        <v>146.7638508</v>
      </c>
      <c r="T45">
        <v>8.2111342700000005</v>
      </c>
      <c r="U45">
        <v>54.342895059999996</v>
      </c>
      <c r="V45">
        <v>3.0403727169999999</v>
      </c>
      <c r="W45">
        <v>4.803278701</v>
      </c>
      <c r="X45">
        <v>0.15415042800000001</v>
      </c>
      <c r="Y45">
        <v>3.9926672820000002</v>
      </c>
      <c r="Z45">
        <v>5.2643923000000002E-2</v>
      </c>
      <c r="AC45" s="12" t="s">
        <v>385</v>
      </c>
    </row>
    <row r="46" spans="1:31">
      <c r="A46">
        <v>57.1</v>
      </c>
      <c r="B46" t="s">
        <v>332</v>
      </c>
      <c r="C46" t="s">
        <v>157</v>
      </c>
      <c r="D46" t="s">
        <v>175</v>
      </c>
      <c r="E46" t="s">
        <v>174</v>
      </c>
      <c r="F46" s="10">
        <v>41385</v>
      </c>
      <c r="G46" s="14" t="s">
        <v>145</v>
      </c>
      <c r="H46" t="s">
        <v>343</v>
      </c>
      <c r="I46" s="47" t="s">
        <v>141</v>
      </c>
      <c r="J46" t="s">
        <v>345</v>
      </c>
      <c r="K46">
        <v>5.9</v>
      </c>
      <c r="L46">
        <v>13.336855740000001</v>
      </c>
      <c r="M46">
        <v>86.2</v>
      </c>
      <c r="N46">
        <v>86.663144259999996</v>
      </c>
      <c r="O46">
        <v>82.5</v>
      </c>
      <c r="P46">
        <v>232.9730912</v>
      </c>
      <c r="X46">
        <v>0.26873352099999998</v>
      </c>
      <c r="Z46">
        <v>0.22338148599999999</v>
      </c>
      <c r="AC46" s="12" t="s">
        <v>387</v>
      </c>
    </row>
    <row r="47" spans="1:31">
      <c r="A47">
        <v>58.1</v>
      </c>
      <c r="B47" t="s">
        <v>332</v>
      </c>
      <c r="C47" t="s">
        <v>157</v>
      </c>
      <c r="D47" t="s">
        <v>175</v>
      </c>
      <c r="E47" t="s">
        <v>97</v>
      </c>
      <c r="F47" s="10">
        <v>41385</v>
      </c>
      <c r="G47" s="14" t="s">
        <v>145</v>
      </c>
      <c r="H47" t="s">
        <v>343</v>
      </c>
      <c r="I47" s="47" t="s">
        <v>141</v>
      </c>
      <c r="J47" t="s">
        <v>333</v>
      </c>
      <c r="K47">
        <v>0.16</v>
      </c>
      <c r="L47">
        <v>9.8139406010000005</v>
      </c>
      <c r="M47">
        <v>86.2</v>
      </c>
      <c r="N47">
        <v>90.186059400000005</v>
      </c>
      <c r="O47">
        <v>82.6</v>
      </c>
      <c r="P47">
        <v>1258.380805</v>
      </c>
      <c r="AC47" s="12" t="s">
        <v>387</v>
      </c>
    </row>
    <row r="48" spans="1:31">
      <c r="A48">
        <v>59.1</v>
      </c>
      <c r="B48" t="s">
        <v>332</v>
      </c>
      <c r="C48" t="s">
        <v>157</v>
      </c>
      <c r="D48" t="s">
        <v>179</v>
      </c>
      <c r="E48" t="s">
        <v>193</v>
      </c>
      <c r="F48" s="10">
        <v>41385</v>
      </c>
      <c r="G48" s="14" t="s">
        <v>145</v>
      </c>
      <c r="H48" t="s">
        <v>344</v>
      </c>
      <c r="I48" s="47" t="s">
        <v>141</v>
      </c>
      <c r="J48" t="s">
        <v>333</v>
      </c>
      <c r="K48">
        <v>0.41</v>
      </c>
      <c r="L48">
        <v>22.713496769999999</v>
      </c>
      <c r="M48">
        <v>85.8</v>
      </c>
      <c r="N48">
        <v>77.286503229999994</v>
      </c>
      <c r="O48">
        <v>82.2</v>
      </c>
      <c r="P48">
        <v>337.1747881</v>
      </c>
      <c r="AC48" s="12" t="s">
        <v>387</v>
      </c>
    </row>
    <row r="49" spans="1:31">
      <c r="A49">
        <v>60.2</v>
      </c>
      <c r="B49" t="s">
        <v>332</v>
      </c>
      <c r="C49" t="s">
        <v>157</v>
      </c>
      <c r="D49" t="s">
        <v>179</v>
      </c>
      <c r="E49" t="s">
        <v>193</v>
      </c>
      <c r="F49" s="10">
        <v>41385</v>
      </c>
      <c r="G49" s="14" t="s">
        <v>140</v>
      </c>
      <c r="H49" t="s">
        <v>344</v>
      </c>
      <c r="I49" s="47" t="s">
        <v>141</v>
      </c>
      <c r="J49" t="s">
        <v>346</v>
      </c>
      <c r="K49">
        <v>0.32</v>
      </c>
      <c r="L49">
        <v>12.304376189999999</v>
      </c>
      <c r="M49">
        <v>85.8</v>
      </c>
      <c r="N49">
        <v>87.695623810000001</v>
      </c>
      <c r="O49">
        <v>82.2</v>
      </c>
      <c r="P49">
        <v>849.62722599999995</v>
      </c>
      <c r="AC49" s="12" t="s">
        <v>387</v>
      </c>
    </row>
    <row r="50" spans="1:31">
      <c r="A50">
        <v>61.2</v>
      </c>
      <c r="B50" t="s">
        <v>332</v>
      </c>
      <c r="C50" t="s">
        <v>157</v>
      </c>
      <c r="D50" t="s">
        <v>179</v>
      </c>
      <c r="E50" t="s">
        <v>193</v>
      </c>
      <c r="F50" s="10">
        <v>41385</v>
      </c>
      <c r="G50" s="14" t="s">
        <v>140</v>
      </c>
      <c r="H50" t="s">
        <v>344</v>
      </c>
      <c r="I50" s="47" t="s">
        <v>141</v>
      </c>
      <c r="J50" t="s">
        <v>345</v>
      </c>
      <c r="K50">
        <v>2.5</v>
      </c>
      <c r="L50">
        <v>11.11111111</v>
      </c>
      <c r="M50">
        <v>85.8</v>
      </c>
      <c r="N50">
        <v>88.888888890000004</v>
      </c>
      <c r="O50">
        <v>82.4</v>
      </c>
      <c r="P50">
        <v>361.37499009999999</v>
      </c>
      <c r="AC50" s="12" t="s">
        <v>387</v>
      </c>
    </row>
    <row r="51" spans="1:31">
      <c r="A51">
        <v>62.2</v>
      </c>
      <c r="B51" t="s">
        <v>347</v>
      </c>
      <c r="C51" t="s">
        <v>184</v>
      </c>
      <c r="D51" t="s">
        <v>185</v>
      </c>
      <c r="E51" t="s">
        <v>193</v>
      </c>
      <c r="F51" s="10">
        <v>41386</v>
      </c>
      <c r="G51" s="14" t="s">
        <v>145</v>
      </c>
      <c r="H51" t="s">
        <v>341</v>
      </c>
      <c r="I51" s="47" t="s">
        <v>82</v>
      </c>
      <c r="J51" t="s">
        <v>333</v>
      </c>
      <c r="K51">
        <v>0.12</v>
      </c>
      <c r="L51">
        <v>27.479957469999999</v>
      </c>
      <c r="M51">
        <v>85.7</v>
      </c>
      <c r="N51">
        <v>72.520042529999998</v>
      </c>
      <c r="O51">
        <v>82.2</v>
      </c>
      <c r="P51">
        <v>314.59520120000002</v>
      </c>
      <c r="Q51" s="44">
        <v>116.4865456</v>
      </c>
      <c r="R51">
        <v>4.2389638249999999</v>
      </c>
      <c r="S51">
        <v>307.40983690000002</v>
      </c>
      <c r="T51">
        <v>11.186692600000001</v>
      </c>
      <c r="U51">
        <v>20.12178222</v>
      </c>
      <c r="V51">
        <v>0.732234838</v>
      </c>
      <c r="W51">
        <v>5.0304455539999999</v>
      </c>
      <c r="X51">
        <v>0.18305871000000001</v>
      </c>
      <c r="Y51">
        <v>2.4577750090000001</v>
      </c>
      <c r="Z51">
        <v>8.9438821000000002E-2</v>
      </c>
      <c r="AC51" s="12" t="s">
        <v>385</v>
      </c>
    </row>
    <row r="52" spans="1:31">
      <c r="A52">
        <v>64.2</v>
      </c>
      <c r="B52" t="s">
        <v>347</v>
      </c>
      <c r="C52" t="s">
        <v>184</v>
      </c>
      <c r="D52" t="s">
        <v>185</v>
      </c>
      <c r="E52" t="s">
        <v>174</v>
      </c>
      <c r="F52" s="10">
        <v>41386</v>
      </c>
      <c r="G52" t="s">
        <v>342</v>
      </c>
      <c r="H52" t="s">
        <v>341</v>
      </c>
      <c r="I52" s="47" t="s">
        <v>82</v>
      </c>
      <c r="J52" t="s">
        <v>333</v>
      </c>
      <c r="K52">
        <v>4.5999999999999996</v>
      </c>
      <c r="AC52" s="12" t="s">
        <v>387</v>
      </c>
    </row>
    <row r="53" spans="1:31">
      <c r="A53">
        <v>65.2</v>
      </c>
      <c r="B53" t="s">
        <v>347</v>
      </c>
      <c r="C53" t="s">
        <v>184</v>
      </c>
      <c r="D53" t="s">
        <v>190</v>
      </c>
      <c r="E53" t="s">
        <v>174</v>
      </c>
      <c r="F53" s="10">
        <v>41387</v>
      </c>
      <c r="G53" t="s">
        <v>342</v>
      </c>
      <c r="H53" t="s">
        <v>343</v>
      </c>
      <c r="I53" s="47" t="s">
        <v>129</v>
      </c>
      <c r="J53" t="s">
        <v>333</v>
      </c>
      <c r="K53">
        <v>0.3</v>
      </c>
      <c r="L53">
        <v>22.713496769999999</v>
      </c>
      <c r="M53">
        <v>85.7</v>
      </c>
      <c r="N53">
        <v>77.286503229999994</v>
      </c>
      <c r="O53">
        <v>82</v>
      </c>
      <c r="P53">
        <v>2294.588158</v>
      </c>
      <c r="Q53" s="44">
        <v>164.73685259999999</v>
      </c>
      <c r="R53">
        <v>7.2528177559999998</v>
      </c>
      <c r="S53">
        <v>293.52770170000002</v>
      </c>
      <c r="T53">
        <v>12.92305208</v>
      </c>
      <c r="U53">
        <v>32.687931650000003</v>
      </c>
      <c r="V53">
        <v>1.439141317</v>
      </c>
      <c r="W53">
        <v>6.3379642440000001</v>
      </c>
      <c r="X53">
        <v>0.27903956400000002</v>
      </c>
      <c r="Y53">
        <v>2.515222777</v>
      </c>
      <c r="Z53">
        <v>0.110736925</v>
      </c>
      <c r="AC53" s="12" t="s">
        <v>385</v>
      </c>
    </row>
    <row r="54" spans="1:31">
      <c r="A54">
        <v>66.2</v>
      </c>
      <c r="B54" t="s">
        <v>347</v>
      </c>
      <c r="C54" t="s">
        <v>184</v>
      </c>
      <c r="D54" t="s">
        <v>190</v>
      </c>
      <c r="E54" t="s">
        <v>193</v>
      </c>
      <c r="F54" s="10">
        <v>41387</v>
      </c>
      <c r="G54" t="s">
        <v>342</v>
      </c>
      <c r="H54" t="s">
        <v>343</v>
      </c>
      <c r="I54" s="47" t="s">
        <v>129</v>
      </c>
      <c r="J54" t="s">
        <v>333</v>
      </c>
      <c r="K54">
        <v>0.11</v>
      </c>
      <c r="L54">
        <v>25.676983459999999</v>
      </c>
      <c r="M54">
        <v>86.1</v>
      </c>
      <c r="N54">
        <v>74.323016539999998</v>
      </c>
      <c r="O54">
        <v>82.6</v>
      </c>
      <c r="P54">
        <v>160.97425770000001</v>
      </c>
      <c r="Q54" s="44">
        <v>116.4865456</v>
      </c>
      <c r="R54">
        <v>4.5366133370000004</v>
      </c>
      <c r="S54">
        <v>119.20928960000001</v>
      </c>
      <c r="T54">
        <v>4.6426516470000001</v>
      </c>
      <c r="U54">
        <v>17.517028839999998</v>
      </c>
      <c r="V54">
        <v>0.682207428</v>
      </c>
      <c r="W54">
        <v>2.37405417</v>
      </c>
      <c r="X54">
        <v>9.2458452999999996E-2</v>
      </c>
      <c r="Y54">
        <v>1.4116210549999999</v>
      </c>
      <c r="Z54">
        <v>5.4976125000000001E-2</v>
      </c>
      <c r="AA54">
        <v>21.073424259999999</v>
      </c>
      <c r="AB54" s="48">
        <v>0.82071261600000001</v>
      </c>
      <c r="AC54" s="12" t="s">
        <v>385</v>
      </c>
    </row>
    <row r="55" spans="1:31">
      <c r="A55">
        <v>68.2</v>
      </c>
      <c r="B55" t="s">
        <v>347</v>
      </c>
      <c r="C55" t="s">
        <v>184</v>
      </c>
      <c r="D55" t="s">
        <v>194</v>
      </c>
      <c r="E55" t="s">
        <v>197</v>
      </c>
      <c r="F55" s="10">
        <v>41387</v>
      </c>
      <c r="G55" t="s">
        <v>342</v>
      </c>
      <c r="H55" t="s">
        <v>344</v>
      </c>
      <c r="I55" s="47" t="s">
        <v>82</v>
      </c>
      <c r="J55" t="s">
        <v>333</v>
      </c>
      <c r="L55">
        <v>31.811200020000001</v>
      </c>
      <c r="M55">
        <v>84.8</v>
      </c>
      <c r="N55">
        <v>68.188799979999999</v>
      </c>
      <c r="O55">
        <v>80.8</v>
      </c>
      <c r="P55">
        <v>22.585936879999998</v>
      </c>
      <c r="AC55" s="12" t="s">
        <v>387</v>
      </c>
    </row>
    <row r="56" spans="1:31">
      <c r="A56">
        <v>71.099999999999994</v>
      </c>
      <c r="B56" t="s">
        <v>347</v>
      </c>
      <c r="C56" t="s">
        <v>184</v>
      </c>
      <c r="D56" t="s">
        <v>185</v>
      </c>
      <c r="E56" t="s">
        <v>197</v>
      </c>
      <c r="F56" s="10">
        <v>41387</v>
      </c>
      <c r="G56" t="s">
        <v>342</v>
      </c>
      <c r="H56" t="s">
        <v>341</v>
      </c>
      <c r="I56" s="47" t="s">
        <v>129</v>
      </c>
      <c r="J56" t="s">
        <v>333</v>
      </c>
      <c r="K56">
        <v>0.2</v>
      </c>
      <c r="L56">
        <v>43.11259278</v>
      </c>
      <c r="M56">
        <v>86.2</v>
      </c>
      <c r="N56">
        <v>56.88740722</v>
      </c>
      <c r="O56">
        <v>82.5</v>
      </c>
      <c r="P56">
        <v>1022.122824</v>
      </c>
      <c r="Q56" s="44">
        <v>38.42622961</v>
      </c>
      <c r="R56">
        <v>0.89129943599999994</v>
      </c>
      <c r="S56">
        <v>33.451975830000002</v>
      </c>
      <c r="T56">
        <v>0.77592122600000002</v>
      </c>
      <c r="U56">
        <v>6.7928618829999996</v>
      </c>
      <c r="V56">
        <v>0.157560969</v>
      </c>
      <c r="W56">
        <v>0.58669645800000003</v>
      </c>
      <c r="X56">
        <v>1.3608471E-2</v>
      </c>
      <c r="Y56">
        <v>0.13372608899999999</v>
      </c>
      <c r="Z56">
        <v>3.1017869999999999E-3</v>
      </c>
      <c r="AA56">
        <v>5.1480266449999998</v>
      </c>
      <c r="AB56" s="48">
        <v>0.11940888500000001</v>
      </c>
      <c r="AC56" s="12" t="s">
        <v>385</v>
      </c>
    </row>
    <row r="57" spans="1:31">
      <c r="A57">
        <v>72.2</v>
      </c>
      <c r="B57" t="s">
        <v>347</v>
      </c>
      <c r="C57" t="s">
        <v>184</v>
      </c>
      <c r="D57" t="s">
        <v>185</v>
      </c>
      <c r="E57" t="s">
        <v>193</v>
      </c>
      <c r="F57" s="10">
        <v>41387</v>
      </c>
      <c r="G57" t="s">
        <v>342</v>
      </c>
      <c r="H57" t="s">
        <v>341</v>
      </c>
      <c r="I57" s="47" t="s">
        <v>129</v>
      </c>
      <c r="J57" t="s">
        <v>345</v>
      </c>
      <c r="K57">
        <v>0.22</v>
      </c>
      <c r="L57">
        <v>32.31447678</v>
      </c>
      <c r="M57">
        <v>85.9</v>
      </c>
      <c r="N57">
        <v>67.685523219999993</v>
      </c>
      <c r="O57">
        <v>82.2</v>
      </c>
      <c r="P57">
        <v>1121.0898460000001</v>
      </c>
      <c r="Q57" s="44">
        <v>160.97425770000001</v>
      </c>
      <c r="R57">
        <v>4.9814904579999997</v>
      </c>
      <c r="S57">
        <v>193.65606220000001</v>
      </c>
      <c r="T57">
        <v>5.9928577379999997</v>
      </c>
      <c r="U57">
        <v>36.690962710000001</v>
      </c>
      <c r="V57">
        <v>1.135434219</v>
      </c>
      <c r="W57">
        <v>4.5863703390000001</v>
      </c>
      <c r="X57">
        <v>0.14192927699999999</v>
      </c>
      <c r="Y57">
        <v>3.3188563520000001</v>
      </c>
      <c r="Z57">
        <v>0.102704939</v>
      </c>
      <c r="AC57" s="12" t="s">
        <v>385</v>
      </c>
    </row>
    <row r="58" spans="1:31">
      <c r="A58">
        <v>73.2</v>
      </c>
      <c r="B58" t="s">
        <v>347</v>
      </c>
      <c r="C58" t="s">
        <v>184</v>
      </c>
      <c r="D58" t="s">
        <v>203</v>
      </c>
      <c r="E58" t="s">
        <v>193</v>
      </c>
      <c r="F58" s="10">
        <v>41388</v>
      </c>
      <c r="G58" s="14" t="s">
        <v>145</v>
      </c>
      <c r="H58" t="s">
        <v>343</v>
      </c>
      <c r="I58" s="47" t="s">
        <v>82</v>
      </c>
      <c r="J58" t="s">
        <v>333</v>
      </c>
      <c r="K58">
        <v>0.42</v>
      </c>
      <c r="L58">
        <v>39.750105929999997</v>
      </c>
      <c r="M58">
        <v>85.9</v>
      </c>
      <c r="N58">
        <v>60.249894070000003</v>
      </c>
      <c r="O58">
        <v>82.4</v>
      </c>
      <c r="P58">
        <v>830.22171330000003</v>
      </c>
      <c r="Q58" s="44">
        <v>164.73685259999999</v>
      </c>
      <c r="R58">
        <v>4.1443122929999996</v>
      </c>
      <c r="S58">
        <v>222.45240010000001</v>
      </c>
      <c r="T58">
        <v>5.5962718819999999</v>
      </c>
      <c r="U58">
        <v>28.45649731</v>
      </c>
      <c r="V58">
        <v>0.71588481699999995</v>
      </c>
      <c r="W58">
        <v>3.3964309419999998</v>
      </c>
      <c r="X58">
        <v>8.5444575999999994E-2</v>
      </c>
      <c r="Y58">
        <v>4.2792348379999998</v>
      </c>
      <c r="Z58">
        <v>0.10765342</v>
      </c>
      <c r="AA58">
        <v>51.888857080000001</v>
      </c>
      <c r="AB58" s="48">
        <v>1.3053765740000001</v>
      </c>
      <c r="AC58" s="12" t="s">
        <v>385</v>
      </c>
    </row>
    <row r="59" spans="1:31">
      <c r="A59">
        <v>76.099999999999994</v>
      </c>
      <c r="B59" t="s">
        <v>347</v>
      </c>
      <c r="C59" t="s">
        <v>184</v>
      </c>
      <c r="D59" t="s">
        <v>209</v>
      </c>
      <c r="E59" t="s">
        <v>174</v>
      </c>
      <c r="F59" s="10">
        <v>41388</v>
      </c>
      <c r="G59" s="14" t="s">
        <v>145</v>
      </c>
      <c r="H59" t="s">
        <v>344</v>
      </c>
      <c r="I59" s="47" t="s">
        <v>82</v>
      </c>
      <c r="J59" t="s">
        <v>333</v>
      </c>
      <c r="L59">
        <v>33.848737489999998</v>
      </c>
      <c r="M59">
        <v>85.8</v>
      </c>
      <c r="N59">
        <v>66.151262509999995</v>
      </c>
      <c r="O59">
        <v>82.1</v>
      </c>
      <c r="P59">
        <v>361.37499009999999</v>
      </c>
      <c r="AC59" s="12" t="s">
        <v>387</v>
      </c>
    </row>
    <row r="60" spans="1:31">
      <c r="A60">
        <v>78.2</v>
      </c>
      <c r="B60" t="s">
        <v>347</v>
      </c>
      <c r="C60" t="s">
        <v>184</v>
      </c>
      <c r="D60" t="s">
        <v>209</v>
      </c>
      <c r="E60" t="s">
        <v>197</v>
      </c>
      <c r="F60" s="10">
        <v>41388</v>
      </c>
      <c r="G60" t="s">
        <v>342</v>
      </c>
      <c r="H60" t="s">
        <v>344</v>
      </c>
      <c r="I60" s="47" t="s">
        <v>82</v>
      </c>
      <c r="J60" t="s">
        <v>333</v>
      </c>
      <c r="K60">
        <v>0.45</v>
      </c>
      <c r="L60">
        <v>40.861871049999998</v>
      </c>
      <c r="M60">
        <v>85.8</v>
      </c>
      <c r="N60">
        <v>59.138128950000002</v>
      </c>
      <c r="O60">
        <v>82.2</v>
      </c>
      <c r="P60">
        <v>2403.1086919999998</v>
      </c>
      <c r="Q60" s="44">
        <v>674.3495762</v>
      </c>
      <c r="R60">
        <v>16.503149730000001</v>
      </c>
      <c r="S60">
        <v>168.58739399999999</v>
      </c>
      <c r="T60">
        <v>4.1257874330000002</v>
      </c>
      <c r="U60">
        <v>108.68579010000001</v>
      </c>
      <c r="V60">
        <v>2.6598339069999999</v>
      </c>
      <c r="W60">
        <v>34.233878699999998</v>
      </c>
      <c r="X60">
        <v>0.83779518200000003</v>
      </c>
      <c r="Y60">
        <v>19.2131148</v>
      </c>
      <c r="Z60">
        <v>0.47019664799999999</v>
      </c>
      <c r="AC60" s="52" t="s">
        <v>388</v>
      </c>
      <c r="AD60" s="54" t="s">
        <v>393</v>
      </c>
      <c r="AE60" s="54"/>
    </row>
    <row r="61" spans="1:31">
      <c r="A61">
        <v>81.099999999999994</v>
      </c>
      <c r="B61" t="s">
        <v>347</v>
      </c>
      <c r="C61" t="s">
        <v>184</v>
      </c>
      <c r="D61" t="s">
        <v>214</v>
      </c>
      <c r="E61" t="s">
        <v>197</v>
      </c>
      <c r="F61" s="10">
        <v>41388</v>
      </c>
      <c r="G61" t="s">
        <v>342</v>
      </c>
      <c r="H61" t="s">
        <v>341</v>
      </c>
      <c r="I61" s="47" t="s">
        <v>40</v>
      </c>
      <c r="J61" t="s">
        <v>333</v>
      </c>
      <c r="K61">
        <v>0.39</v>
      </c>
      <c r="L61">
        <v>27.942790689999999</v>
      </c>
      <c r="M61">
        <v>85.8</v>
      </c>
      <c r="N61">
        <v>72.057209310000005</v>
      </c>
      <c r="O61">
        <v>82.2</v>
      </c>
      <c r="P61">
        <v>1479.28692</v>
      </c>
      <c r="Q61" s="44">
        <v>157.29760060000001</v>
      </c>
      <c r="R61">
        <v>5.6292731219999999</v>
      </c>
      <c r="S61">
        <v>106.20340330000001</v>
      </c>
      <c r="T61">
        <v>3.800744329</v>
      </c>
      <c r="U61">
        <v>27.171447529999998</v>
      </c>
      <c r="V61">
        <v>0.97239562899999998</v>
      </c>
      <c r="W61">
        <v>5.9135297390000003</v>
      </c>
      <c r="X61">
        <v>0.21162989099999999</v>
      </c>
      <c r="Y61">
        <v>3.8123648320000001</v>
      </c>
      <c r="Z61">
        <v>0.13643464899999999</v>
      </c>
      <c r="AC61" s="12" t="s">
        <v>385</v>
      </c>
    </row>
    <row r="62" spans="1:31">
      <c r="A62">
        <v>82.2</v>
      </c>
      <c r="B62" t="s">
        <v>347</v>
      </c>
      <c r="C62" t="s">
        <v>184</v>
      </c>
      <c r="D62" t="s">
        <v>218</v>
      </c>
      <c r="E62" t="s">
        <v>193</v>
      </c>
      <c r="F62" s="10">
        <v>41390</v>
      </c>
      <c r="G62" t="s">
        <v>342</v>
      </c>
      <c r="H62" t="s">
        <v>343</v>
      </c>
      <c r="I62" s="47" t="s">
        <v>82</v>
      </c>
      <c r="J62" t="s">
        <v>333</v>
      </c>
      <c r="L62">
        <v>41.983063629999997</v>
      </c>
      <c r="M62">
        <v>85.9</v>
      </c>
      <c r="N62">
        <v>58.016936370000003</v>
      </c>
      <c r="O62">
        <v>82.4</v>
      </c>
      <c r="P62">
        <v>1229.639347</v>
      </c>
      <c r="AC62" s="12" t="s">
        <v>387</v>
      </c>
    </row>
    <row r="63" spans="1:31">
      <c r="A63">
        <v>83.2</v>
      </c>
      <c r="B63" t="s">
        <v>347</v>
      </c>
      <c r="C63" t="s">
        <v>184</v>
      </c>
      <c r="D63" t="s">
        <v>218</v>
      </c>
      <c r="E63" t="s">
        <v>193</v>
      </c>
      <c r="F63" s="10">
        <v>41390</v>
      </c>
      <c r="G63" t="s">
        <v>342</v>
      </c>
      <c r="H63" t="s">
        <v>343</v>
      </c>
      <c r="I63" s="47" t="s">
        <v>82</v>
      </c>
      <c r="J63" t="s">
        <v>333</v>
      </c>
      <c r="L63">
        <v>39.19808922</v>
      </c>
      <c r="M63">
        <v>85.8</v>
      </c>
      <c r="N63">
        <v>60.80191078</v>
      </c>
      <c r="O63">
        <v>82.5</v>
      </c>
      <c r="P63">
        <v>378.46590329999998</v>
      </c>
      <c r="AC63" s="12" t="s">
        <v>387</v>
      </c>
    </row>
    <row r="64" spans="1:31">
      <c r="A64">
        <v>84.1</v>
      </c>
      <c r="B64" t="s">
        <v>347</v>
      </c>
      <c r="C64" t="s">
        <v>184</v>
      </c>
      <c r="D64" t="s">
        <v>218</v>
      </c>
      <c r="E64" t="s">
        <v>197</v>
      </c>
      <c r="F64" s="10">
        <v>41390</v>
      </c>
      <c r="G64" s="14" t="s">
        <v>145</v>
      </c>
      <c r="H64" t="s">
        <v>343</v>
      </c>
      <c r="I64" s="47" t="s">
        <v>82</v>
      </c>
      <c r="J64" t="s">
        <v>333</v>
      </c>
      <c r="L64">
        <v>35.9479805</v>
      </c>
      <c r="M64">
        <v>85.9</v>
      </c>
      <c r="N64">
        <v>64.0520195</v>
      </c>
      <c r="O64">
        <v>82.4</v>
      </c>
      <c r="P64">
        <v>273.87102959999999</v>
      </c>
      <c r="AC64" s="12" t="s">
        <v>387</v>
      </c>
    </row>
    <row r="65" spans="1:31">
      <c r="A65">
        <v>86.2</v>
      </c>
      <c r="B65" t="s">
        <v>347</v>
      </c>
      <c r="C65" t="s">
        <v>184</v>
      </c>
      <c r="D65" t="s">
        <v>225</v>
      </c>
      <c r="E65" t="s">
        <v>197</v>
      </c>
      <c r="F65" s="10">
        <v>41390</v>
      </c>
      <c r="G65" t="s">
        <v>342</v>
      </c>
      <c r="H65" t="s">
        <v>344</v>
      </c>
      <c r="I65" s="47" t="s">
        <v>40</v>
      </c>
      <c r="J65" t="s">
        <v>333</v>
      </c>
      <c r="K65">
        <v>0.23</v>
      </c>
      <c r="L65">
        <v>32.31447678</v>
      </c>
      <c r="M65">
        <v>86</v>
      </c>
      <c r="N65">
        <v>67.685523219999993</v>
      </c>
      <c r="O65">
        <v>82.3</v>
      </c>
      <c r="P65">
        <v>1287.7940619999999</v>
      </c>
      <c r="Q65" s="44">
        <v>153.7049184</v>
      </c>
      <c r="R65">
        <v>4.7565343389999999</v>
      </c>
      <c r="S65">
        <v>198.18255809999999</v>
      </c>
      <c r="T65">
        <v>6.1329341480000004</v>
      </c>
      <c r="U65">
        <v>25.351856980000001</v>
      </c>
      <c r="V65">
        <v>0.78453558599999995</v>
      </c>
      <c r="W65">
        <v>4.803278701</v>
      </c>
      <c r="X65">
        <v>0.14864169799999999</v>
      </c>
      <c r="Y65">
        <v>2.1896286049999998</v>
      </c>
      <c r="Z65">
        <v>6.7759989000000007E-2</v>
      </c>
      <c r="AA65">
        <v>37.984866719999999</v>
      </c>
      <c r="AB65" s="48">
        <v>1.1754752209999999</v>
      </c>
      <c r="AC65" s="12" t="s">
        <v>385</v>
      </c>
    </row>
    <row r="66" spans="1:31">
      <c r="A66">
        <v>88.2</v>
      </c>
      <c r="B66" t="s">
        <v>347</v>
      </c>
      <c r="C66" t="s">
        <v>184</v>
      </c>
      <c r="D66" t="s">
        <v>225</v>
      </c>
      <c r="E66" t="s">
        <v>193</v>
      </c>
      <c r="F66" s="10">
        <v>41390</v>
      </c>
      <c r="G66" s="14" t="s">
        <v>140</v>
      </c>
      <c r="H66" t="s">
        <v>344</v>
      </c>
      <c r="I66" s="47" t="s">
        <v>82</v>
      </c>
      <c r="J66" t="s">
        <v>333</v>
      </c>
      <c r="K66">
        <v>0.91</v>
      </c>
      <c r="L66">
        <v>10.444750320000001</v>
      </c>
      <c r="M66">
        <v>85.8</v>
      </c>
      <c r="N66">
        <v>89.555249680000003</v>
      </c>
      <c r="O66">
        <v>82.2</v>
      </c>
      <c r="P66">
        <v>396.36511619999999</v>
      </c>
      <c r="Q66" s="44">
        <v>499.38875330000002</v>
      </c>
      <c r="R66">
        <v>47.812416599999999</v>
      </c>
      <c r="S66">
        <v>337.1747881</v>
      </c>
      <c r="T66">
        <v>32.281747090000003</v>
      </c>
      <c r="U66">
        <v>76.85245922</v>
      </c>
      <c r="V66">
        <v>7.3579986980000003</v>
      </c>
      <c r="W66">
        <v>6.4861071360000002</v>
      </c>
      <c r="X66">
        <v>0.62099207199999995</v>
      </c>
      <c r="Y66">
        <v>12.103503890000001</v>
      </c>
      <c r="Z66">
        <v>1.1588121810000001</v>
      </c>
      <c r="AA66">
        <v>124.8471883</v>
      </c>
      <c r="AB66" s="48">
        <v>11.95310415</v>
      </c>
      <c r="AC66" s="52" t="s">
        <v>388</v>
      </c>
      <c r="AD66" s="54" t="s">
        <v>394</v>
      </c>
      <c r="AE66" s="54"/>
    </row>
    <row r="67" spans="1:31">
      <c r="A67">
        <v>96.1</v>
      </c>
      <c r="B67" t="s">
        <v>347</v>
      </c>
      <c r="C67" t="s">
        <v>243</v>
      </c>
      <c r="D67" t="s">
        <v>244</v>
      </c>
      <c r="E67" t="s">
        <v>97</v>
      </c>
      <c r="F67" s="10">
        <v>41392</v>
      </c>
      <c r="G67" s="14" t="s">
        <v>145</v>
      </c>
      <c r="H67" t="s">
        <v>343</v>
      </c>
      <c r="I67" s="47" t="s">
        <v>82</v>
      </c>
      <c r="J67" t="s">
        <v>333</v>
      </c>
      <c r="L67">
        <v>77.689538679999998</v>
      </c>
      <c r="M67">
        <v>85.2</v>
      </c>
      <c r="N67">
        <v>22.310461320000002</v>
      </c>
      <c r="O67">
        <v>80.900000000000006</v>
      </c>
      <c r="P67">
        <v>111.22620000000001</v>
      </c>
      <c r="Q67" s="44">
        <v>869.48632099999998</v>
      </c>
      <c r="R67">
        <v>11.191806980000001</v>
      </c>
      <c r="S67">
        <v>444.90480020000001</v>
      </c>
      <c r="T67">
        <v>5.7267015319999999</v>
      </c>
      <c r="U67">
        <v>103.77771420000001</v>
      </c>
      <c r="V67">
        <v>1.335800366</v>
      </c>
      <c r="W67">
        <v>7.6247296630000001</v>
      </c>
      <c r="X67">
        <v>9.8143583000000006E-2</v>
      </c>
      <c r="Y67">
        <v>19.2131148</v>
      </c>
      <c r="Z67">
        <v>0.24730633099999999</v>
      </c>
      <c r="AA67">
        <v>189.23295160000001</v>
      </c>
      <c r="AB67" s="48">
        <v>2.4357584669999999</v>
      </c>
      <c r="AC67" s="12" t="s">
        <v>387</v>
      </c>
      <c r="AD67" t="s">
        <v>389</v>
      </c>
    </row>
    <row r="68" spans="1:31">
      <c r="A68">
        <v>97.1</v>
      </c>
      <c r="B68" t="s">
        <v>347</v>
      </c>
      <c r="C68" t="s">
        <v>243</v>
      </c>
      <c r="D68" t="s">
        <v>244</v>
      </c>
      <c r="E68" t="s">
        <v>193</v>
      </c>
      <c r="F68" s="10">
        <v>41392</v>
      </c>
      <c r="G68" s="14" t="s">
        <v>140</v>
      </c>
      <c r="H68" t="s">
        <v>344</v>
      </c>
      <c r="I68" s="47" t="s">
        <v>82</v>
      </c>
      <c r="J68" t="s">
        <v>346</v>
      </c>
      <c r="K68">
        <v>44</v>
      </c>
      <c r="L68">
        <v>20.372242119999999</v>
      </c>
      <c r="M68">
        <v>86.2</v>
      </c>
      <c r="N68">
        <v>79.627757880000004</v>
      </c>
      <c r="O68">
        <v>82.5</v>
      </c>
      <c r="P68">
        <v>2348.221614</v>
      </c>
      <c r="Q68" s="44">
        <v>560.54492300000004</v>
      </c>
      <c r="R68">
        <v>27.5151316</v>
      </c>
      <c r="S68">
        <v>119.20928960000001</v>
      </c>
      <c r="T68">
        <v>5.8515547200000002</v>
      </c>
      <c r="U68">
        <v>73.381925420000002</v>
      </c>
      <c r="V68">
        <v>3.602054452</v>
      </c>
      <c r="W68">
        <v>7.280409101</v>
      </c>
      <c r="X68">
        <v>0.35736906400000001</v>
      </c>
      <c r="Y68">
        <v>12.38640988</v>
      </c>
      <c r="Z68">
        <v>0.60800425400000002</v>
      </c>
      <c r="AC68" s="12" t="s">
        <v>385</v>
      </c>
    </row>
    <row r="69" spans="1:31">
      <c r="A69">
        <v>98.2</v>
      </c>
      <c r="B69" t="s">
        <v>347</v>
      </c>
      <c r="C69" t="s">
        <v>243</v>
      </c>
      <c r="D69" t="s">
        <v>244</v>
      </c>
      <c r="E69" t="s">
        <v>174</v>
      </c>
      <c r="F69" s="10">
        <v>41392</v>
      </c>
      <c r="G69" s="14" t="s">
        <v>145</v>
      </c>
      <c r="H69" t="s">
        <v>344</v>
      </c>
      <c r="I69" s="47" t="s">
        <v>82</v>
      </c>
      <c r="J69" t="s">
        <v>333</v>
      </c>
      <c r="K69">
        <v>0.31</v>
      </c>
      <c r="L69">
        <v>27.942790689999999</v>
      </c>
      <c r="M69">
        <v>85.6</v>
      </c>
      <c r="N69">
        <v>72.057209310000005</v>
      </c>
      <c r="O69">
        <v>82</v>
      </c>
      <c r="P69">
        <v>329.47370530000001</v>
      </c>
      <c r="Q69" s="44">
        <v>1.0698087089999999</v>
      </c>
      <c r="R69">
        <v>3.8285679000000003E-2</v>
      </c>
      <c r="S69">
        <v>0.227512784</v>
      </c>
      <c r="T69">
        <v>8.1420920000000001E-3</v>
      </c>
      <c r="U69">
        <v>0.143324073</v>
      </c>
      <c r="V69">
        <v>5.1291970000000003E-3</v>
      </c>
      <c r="Y69">
        <v>8.9577549999999995E-3</v>
      </c>
      <c r="AA69">
        <v>2.1552806000000001E-2</v>
      </c>
      <c r="AB69" s="48">
        <v>7.7131900000000002E-4</v>
      </c>
      <c r="AC69" s="12" t="s">
        <v>387</v>
      </c>
    </row>
    <row r="70" spans="1:31">
      <c r="A70">
        <v>99.1</v>
      </c>
      <c r="B70" t="s">
        <v>347</v>
      </c>
      <c r="C70" t="s">
        <v>243</v>
      </c>
      <c r="D70" t="s">
        <v>252</v>
      </c>
      <c r="E70" t="s">
        <v>197</v>
      </c>
      <c r="F70" s="10">
        <v>41393</v>
      </c>
      <c r="G70" t="s">
        <v>348</v>
      </c>
      <c r="H70" t="s">
        <v>344</v>
      </c>
      <c r="I70" s="47" t="s">
        <v>82</v>
      </c>
      <c r="J70" t="s">
        <v>333</v>
      </c>
      <c r="K70">
        <v>0.52</v>
      </c>
      <c r="L70">
        <v>23.534896310000001</v>
      </c>
      <c r="M70">
        <v>86.1</v>
      </c>
      <c r="N70">
        <v>76.465103690000007</v>
      </c>
      <c r="O70">
        <v>82.5</v>
      </c>
      <c r="P70">
        <v>690.11175030000004</v>
      </c>
      <c r="AC70" s="12" t="s">
        <v>387</v>
      </c>
    </row>
    <row r="71" spans="1:31">
      <c r="A71">
        <v>100.2</v>
      </c>
      <c r="B71" t="s">
        <v>347</v>
      </c>
      <c r="C71" t="s">
        <v>243</v>
      </c>
      <c r="D71" t="s">
        <v>256</v>
      </c>
      <c r="E71" t="s">
        <v>197</v>
      </c>
      <c r="F71" s="10">
        <v>41393</v>
      </c>
      <c r="G71" s="14" t="s">
        <v>140</v>
      </c>
      <c r="H71" t="s">
        <v>344</v>
      </c>
      <c r="I71" s="47" t="s">
        <v>82</v>
      </c>
      <c r="J71" t="s">
        <v>333</v>
      </c>
      <c r="K71">
        <v>0.66</v>
      </c>
      <c r="L71">
        <v>37.559026940000003</v>
      </c>
      <c r="M71">
        <v>85.8</v>
      </c>
      <c r="N71">
        <v>62.440973059999997</v>
      </c>
      <c r="O71">
        <v>82.5</v>
      </c>
      <c r="P71">
        <v>1147.294079</v>
      </c>
      <c r="Q71" s="44">
        <v>387.31212440000002</v>
      </c>
      <c r="R71">
        <v>10.31209155</v>
      </c>
      <c r="S71">
        <v>243.9913492</v>
      </c>
      <c r="T71">
        <v>6.4962106080000002</v>
      </c>
      <c r="U71">
        <v>45.171873759999997</v>
      </c>
      <c r="V71">
        <v>1.202690204</v>
      </c>
      <c r="W71">
        <v>4.6935716640000003</v>
      </c>
      <c r="X71">
        <v>0.12496520899999999</v>
      </c>
      <c r="Y71">
        <v>7.9853345640000004</v>
      </c>
      <c r="Z71">
        <v>0.21260760000000001</v>
      </c>
      <c r="AA71">
        <v>116.4865456</v>
      </c>
      <c r="AB71" s="48">
        <v>3.1014260779999998</v>
      </c>
      <c r="AC71" s="12" t="s">
        <v>385</v>
      </c>
    </row>
    <row r="72" spans="1:31">
      <c r="A72">
        <v>101.1</v>
      </c>
      <c r="B72" t="s">
        <v>347</v>
      </c>
      <c r="C72" t="s">
        <v>243</v>
      </c>
      <c r="D72" t="s">
        <v>256</v>
      </c>
      <c r="E72" t="s">
        <v>193</v>
      </c>
      <c r="F72" s="10">
        <v>41393</v>
      </c>
      <c r="G72" s="14" t="s">
        <v>140</v>
      </c>
      <c r="H72" t="s">
        <v>344</v>
      </c>
      <c r="I72" s="47" t="s">
        <v>82</v>
      </c>
      <c r="J72" t="s">
        <v>333</v>
      </c>
      <c r="K72">
        <v>0.11</v>
      </c>
      <c r="L72">
        <v>26.1203875</v>
      </c>
      <c r="M72">
        <v>85.9</v>
      </c>
      <c r="N72">
        <v>73.879612499999993</v>
      </c>
      <c r="O72">
        <v>82.3</v>
      </c>
      <c r="P72">
        <v>2403.1086919999998</v>
      </c>
      <c r="Q72" s="44">
        <v>222.45240010000001</v>
      </c>
      <c r="R72">
        <v>8.5164280249999997</v>
      </c>
      <c r="S72">
        <v>141.76453530000001</v>
      </c>
      <c r="T72">
        <v>5.4273519229999998</v>
      </c>
      <c r="U72">
        <v>29.80232239</v>
      </c>
      <c r="V72">
        <v>1.140960194</v>
      </c>
      <c r="W72">
        <v>3.725290298</v>
      </c>
      <c r="X72">
        <v>0.14262002400000001</v>
      </c>
      <c r="Y72">
        <v>6.7928618829999996</v>
      </c>
      <c r="Z72">
        <v>0.260059767</v>
      </c>
      <c r="AC72" s="12" t="s">
        <v>385</v>
      </c>
    </row>
    <row r="73" spans="1:31">
      <c r="A73">
        <v>102.1</v>
      </c>
      <c r="B73" t="s">
        <v>347</v>
      </c>
      <c r="C73" t="s">
        <v>243</v>
      </c>
      <c r="D73" t="s">
        <v>261</v>
      </c>
      <c r="E73" t="s">
        <v>193</v>
      </c>
      <c r="F73" s="10">
        <v>41394</v>
      </c>
      <c r="G73" s="14" t="s">
        <v>145</v>
      </c>
      <c r="H73" t="s">
        <v>343</v>
      </c>
      <c r="I73" s="47" t="s">
        <v>82</v>
      </c>
      <c r="J73" t="s">
        <v>333</v>
      </c>
      <c r="K73">
        <v>0.22</v>
      </c>
      <c r="L73">
        <v>19.27088049</v>
      </c>
      <c r="M73">
        <v>85.9</v>
      </c>
      <c r="N73">
        <v>80.729119510000004</v>
      </c>
      <c r="O73">
        <v>82.3</v>
      </c>
      <c r="P73">
        <v>4696.4432269999998</v>
      </c>
      <c r="AC73" s="12" t="s">
        <v>387</v>
      </c>
    </row>
    <row r="74" spans="1:31">
      <c r="A74">
        <v>103.1</v>
      </c>
      <c r="B74" t="s">
        <v>347</v>
      </c>
      <c r="C74" t="s">
        <v>243</v>
      </c>
      <c r="D74" t="s">
        <v>261</v>
      </c>
      <c r="E74" t="s">
        <v>197</v>
      </c>
      <c r="F74" s="10">
        <v>41394</v>
      </c>
      <c r="G74" s="14" t="s">
        <v>145</v>
      </c>
      <c r="H74" t="s">
        <v>343</v>
      </c>
      <c r="I74" s="47" t="s">
        <v>82</v>
      </c>
      <c r="J74" t="s">
        <v>333</v>
      </c>
      <c r="K74">
        <v>0.14000000000000001</v>
      </c>
      <c r="L74">
        <v>40.861871049999998</v>
      </c>
      <c r="M74">
        <v>86.3</v>
      </c>
      <c r="N74">
        <v>59.138128950000002</v>
      </c>
      <c r="O74">
        <v>82.4</v>
      </c>
      <c r="P74">
        <v>32707.930380000002</v>
      </c>
      <c r="Q74" s="44">
        <v>4.2121078999999999E-2</v>
      </c>
      <c r="R74">
        <v>1.0308159999999999E-3</v>
      </c>
      <c r="AC74" s="12" t="s">
        <v>387</v>
      </c>
    </row>
    <row r="75" spans="1:31">
      <c r="A75">
        <v>104.1</v>
      </c>
      <c r="B75" t="s">
        <v>347</v>
      </c>
      <c r="C75" t="s">
        <v>243</v>
      </c>
      <c r="D75" t="s">
        <v>267</v>
      </c>
      <c r="E75" t="s">
        <v>97</v>
      </c>
      <c r="F75" s="10">
        <v>41394</v>
      </c>
      <c r="G75" s="14" t="s">
        <v>145</v>
      </c>
      <c r="H75" t="s">
        <v>344</v>
      </c>
      <c r="I75" s="47" t="s">
        <v>82</v>
      </c>
      <c r="J75" t="s">
        <v>333</v>
      </c>
      <c r="K75">
        <v>9.3000000000000007</v>
      </c>
      <c r="AC75" s="12" t="s">
        <v>387</v>
      </c>
    </row>
    <row r="76" spans="1:31">
      <c r="A76">
        <v>105.1</v>
      </c>
      <c r="B76" t="s">
        <v>347</v>
      </c>
      <c r="C76" t="s">
        <v>243</v>
      </c>
      <c r="D76" t="s">
        <v>270</v>
      </c>
      <c r="E76" t="s">
        <v>97</v>
      </c>
      <c r="F76" s="10">
        <v>41394</v>
      </c>
      <c r="G76" s="14" t="s">
        <v>145</v>
      </c>
      <c r="H76" t="s">
        <v>341</v>
      </c>
      <c r="I76" s="47" t="s">
        <v>82</v>
      </c>
      <c r="J76" t="s">
        <v>346</v>
      </c>
      <c r="K76">
        <v>0.18</v>
      </c>
      <c r="L76">
        <v>18.913982390000001</v>
      </c>
      <c r="M76">
        <v>85.9</v>
      </c>
      <c r="N76">
        <v>81.086017609999999</v>
      </c>
      <c r="O76">
        <v>82.2</v>
      </c>
      <c r="P76">
        <v>4696.4432269999998</v>
      </c>
      <c r="AC76" s="12" t="s">
        <v>387</v>
      </c>
    </row>
    <row r="77" spans="1:31">
      <c r="A77">
        <v>106.2</v>
      </c>
      <c r="B77" t="s">
        <v>347</v>
      </c>
      <c r="C77" t="s">
        <v>243</v>
      </c>
      <c r="D77" t="s">
        <v>273</v>
      </c>
      <c r="E77" t="s">
        <v>97</v>
      </c>
      <c r="F77" s="10">
        <v>41395</v>
      </c>
      <c r="G77" s="14" t="s">
        <v>145</v>
      </c>
      <c r="H77" t="s">
        <v>343</v>
      </c>
      <c r="I77" s="47" t="s">
        <v>129</v>
      </c>
      <c r="J77" t="s">
        <v>333</v>
      </c>
      <c r="K77">
        <v>0.34</v>
      </c>
      <c r="L77">
        <v>23.534896310000001</v>
      </c>
      <c r="M77">
        <v>86.2</v>
      </c>
      <c r="N77">
        <v>76.465103690000007</v>
      </c>
      <c r="O77">
        <v>82.3</v>
      </c>
      <c r="P77">
        <v>3027.727226</v>
      </c>
      <c r="Q77" s="44">
        <v>207.55542829999999</v>
      </c>
      <c r="R77">
        <v>8.8190500449999991</v>
      </c>
      <c r="S77">
        <v>116.4865456</v>
      </c>
      <c r="T77">
        <v>4.9495244889999999</v>
      </c>
      <c r="U77">
        <v>54.342895059999996</v>
      </c>
      <c r="V77">
        <v>2.3090348199999999</v>
      </c>
      <c r="W77">
        <v>9.3871433280000005</v>
      </c>
      <c r="X77">
        <v>0.39886062</v>
      </c>
      <c r="Y77">
        <v>2.2408087480000001</v>
      </c>
      <c r="Z77">
        <v>9.5212177999999995E-2</v>
      </c>
      <c r="AC77" s="12" t="s">
        <v>385</v>
      </c>
    </row>
    <row r="78" spans="1:31">
      <c r="A78">
        <v>107.2</v>
      </c>
      <c r="B78" t="s">
        <v>347</v>
      </c>
      <c r="C78" t="s">
        <v>243</v>
      </c>
      <c r="D78" t="s">
        <v>273</v>
      </c>
      <c r="E78" t="s">
        <v>197</v>
      </c>
      <c r="F78" s="10">
        <v>41395</v>
      </c>
      <c r="G78" s="14" t="s">
        <v>140</v>
      </c>
      <c r="H78" t="s">
        <v>343</v>
      </c>
      <c r="I78" s="47" t="s">
        <v>82</v>
      </c>
      <c r="J78" t="s">
        <v>333</v>
      </c>
      <c r="K78">
        <v>0.26</v>
      </c>
      <c r="L78">
        <v>45.392130530000003</v>
      </c>
      <c r="M78">
        <v>85.8</v>
      </c>
      <c r="N78">
        <v>54.607869469999997</v>
      </c>
      <c r="O78">
        <v>82.2</v>
      </c>
      <c r="P78">
        <v>4381.9364740000001</v>
      </c>
      <c r="Q78" s="44">
        <v>424.81361299999998</v>
      </c>
      <c r="R78">
        <v>9.358750251</v>
      </c>
      <c r="S78">
        <v>222.45240010000001</v>
      </c>
      <c r="T78">
        <v>4.9006820680000001</v>
      </c>
      <c r="U78">
        <v>65.375863300000006</v>
      </c>
      <c r="V78">
        <v>1.4402466359999999</v>
      </c>
      <c r="W78">
        <v>8.9632349910000002</v>
      </c>
      <c r="X78">
        <v>0.197462311</v>
      </c>
      <c r="Y78">
        <v>8.3629939580000006</v>
      </c>
      <c r="Z78">
        <v>0.18423885100000001</v>
      </c>
      <c r="AC78" s="12" t="s">
        <v>385</v>
      </c>
    </row>
    <row r="79" spans="1:31">
      <c r="A79">
        <v>109.2</v>
      </c>
      <c r="B79" t="s">
        <v>347</v>
      </c>
      <c r="C79" t="s">
        <v>287</v>
      </c>
      <c r="D79" t="s">
        <v>288</v>
      </c>
      <c r="E79" t="s">
        <v>197</v>
      </c>
      <c r="F79" s="10">
        <v>41397</v>
      </c>
      <c r="G79" s="14" t="s">
        <v>140</v>
      </c>
      <c r="H79" t="s">
        <v>343</v>
      </c>
      <c r="I79" s="47" t="s">
        <v>82</v>
      </c>
      <c r="J79" t="s">
        <v>333</v>
      </c>
      <c r="K79">
        <v>1.1000000000000001</v>
      </c>
      <c r="L79">
        <v>47.115094509999999</v>
      </c>
      <c r="M79">
        <v>86.1</v>
      </c>
      <c r="N79">
        <v>52.884905490000001</v>
      </c>
      <c r="O79">
        <v>82.4</v>
      </c>
      <c r="P79">
        <v>6955.8905679999998</v>
      </c>
      <c r="Q79" s="44">
        <v>396.36511619999999</v>
      </c>
      <c r="R79">
        <v>8.4126991639999993</v>
      </c>
      <c r="S79">
        <v>238.41857909999999</v>
      </c>
      <c r="T79">
        <v>5.0603438580000004</v>
      </c>
      <c r="U79">
        <v>73.381925420000002</v>
      </c>
      <c r="V79">
        <v>1.557503517</v>
      </c>
      <c r="W79">
        <v>10.53671213</v>
      </c>
      <c r="X79">
        <v>0.22363771599999999</v>
      </c>
      <c r="Y79">
        <v>4.5863703390000001</v>
      </c>
      <c r="Z79">
        <v>9.7343970000000002E-2</v>
      </c>
      <c r="AA79">
        <v>60.9978373</v>
      </c>
      <c r="AB79" s="48">
        <v>1.2946559470000001</v>
      </c>
      <c r="AC79" s="12" t="s">
        <v>385</v>
      </c>
    </row>
    <row r="80" spans="1:31">
      <c r="A80">
        <v>110.2</v>
      </c>
      <c r="B80" t="s">
        <v>347</v>
      </c>
      <c r="C80" t="s">
        <v>287</v>
      </c>
      <c r="D80" t="s">
        <v>288</v>
      </c>
      <c r="E80" t="s">
        <v>197</v>
      </c>
      <c r="F80" s="10">
        <v>41397</v>
      </c>
      <c r="G80" s="14" t="s">
        <v>140</v>
      </c>
      <c r="H80" t="s">
        <v>344</v>
      </c>
      <c r="I80" s="47" t="s">
        <v>82</v>
      </c>
      <c r="J80" t="s">
        <v>333</v>
      </c>
      <c r="K80">
        <v>0.89</v>
      </c>
      <c r="L80">
        <v>29.359521399999998</v>
      </c>
      <c r="M80">
        <v>85.9</v>
      </c>
      <c r="N80">
        <v>70.640478599999994</v>
      </c>
      <c r="O80">
        <v>82.3</v>
      </c>
      <c r="P80">
        <v>1380.2235009999999</v>
      </c>
      <c r="Q80" s="44">
        <v>189.23295160000001</v>
      </c>
      <c r="R80">
        <v>6.4453690850000003</v>
      </c>
      <c r="S80">
        <v>86.263968790000007</v>
      </c>
      <c r="T80">
        <v>2.938193971</v>
      </c>
      <c r="U80">
        <v>14.228248649999999</v>
      </c>
      <c r="V80">
        <v>0.48462127300000002</v>
      </c>
      <c r="W80">
        <v>2.8232421099999998</v>
      </c>
      <c r="X80">
        <v>9.6161040000000003E-2</v>
      </c>
      <c r="Y80">
        <v>3.8123648320000001</v>
      </c>
      <c r="Z80">
        <v>0.12985105499999999</v>
      </c>
      <c r="AA80">
        <v>48.414015550000002</v>
      </c>
      <c r="AB80" s="48">
        <v>1.6490056120000001</v>
      </c>
      <c r="AC80" s="12" t="s">
        <v>385</v>
      </c>
    </row>
    <row r="81" spans="1:31">
      <c r="A81">
        <v>111.1</v>
      </c>
      <c r="B81" t="s">
        <v>347</v>
      </c>
      <c r="C81" t="s">
        <v>287</v>
      </c>
      <c r="D81" t="s">
        <v>293</v>
      </c>
      <c r="E81" t="s">
        <v>174</v>
      </c>
      <c r="F81" s="10">
        <v>41397</v>
      </c>
      <c r="G81" s="14" t="s">
        <v>145</v>
      </c>
      <c r="H81" t="s">
        <v>344</v>
      </c>
      <c r="I81" s="47" t="s">
        <v>349</v>
      </c>
      <c r="J81" t="s">
        <v>333</v>
      </c>
      <c r="L81">
        <v>10.020344919999999</v>
      </c>
      <c r="M81">
        <v>86.1</v>
      </c>
      <c r="N81">
        <v>89.979655080000001</v>
      </c>
      <c r="O81">
        <v>82.5</v>
      </c>
      <c r="P81">
        <v>931.89236489999996</v>
      </c>
      <c r="AC81" s="12" t="s">
        <v>387</v>
      </c>
    </row>
    <row r="82" spans="1:31">
      <c r="A82">
        <v>112.1</v>
      </c>
      <c r="B82" t="s">
        <v>347</v>
      </c>
      <c r="C82" t="s">
        <v>287</v>
      </c>
      <c r="D82" t="s">
        <v>297</v>
      </c>
      <c r="E82" t="s">
        <v>174</v>
      </c>
      <c r="F82" s="10">
        <v>41397</v>
      </c>
      <c r="G82" s="14" t="s">
        <v>145</v>
      </c>
      <c r="H82" t="s">
        <v>341</v>
      </c>
      <c r="I82" s="47" t="s">
        <v>82</v>
      </c>
      <c r="J82" t="s">
        <v>333</v>
      </c>
      <c r="K82">
        <v>0.37</v>
      </c>
      <c r="L82">
        <v>36.481689430000003</v>
      </c>
      <c r="M82">
        <v>86.2</v>
      </c>
      <c r="N82">
        <v>63.518310569999997</v>
      </c>
      <c r="O82">
        <v>82.5</v>
      </c>
      <c r="P82">
        <v>614.81967369999995</v>
      </c>
      <c r="AC82" s="12" t="s">
        <v>387</v>
      </c>
    </row>
    <row r="83" spans="1:31">
      <c r="A83">
        <v>113.2</v>
      </c>
      <c r="B83" t="s">
        <v>347</v>
      </c>
      <c r="C83" t="s">
        <v>287</v>
      </c>
      <c r="D83" t="s">
        <v>297</v>
      </c>
      <c r="E83" t="s">
        <v>197</v>
      </c>
      <c r="F83" s="10">
        <v>41397</v>
      </c>
      <c r="G83" s="14" t="s">
        <v>145</v>
      </c>
      <c r="H83" t="s">
        <v>341</v>
      </c>
      <c r="I83" s="47" t="s">
        <v>129</v>
      </c>
      <c r="J83" t="s">
        <v>333</v>
      </c>
      <c r="K83">
        <v>0.12</v>
      </c>
      <c r="L83">
        <v>31.811200020000001</v>
      </c>
      <c r="M83">
        <v>85.6</v>
      </c>
      <c r="N83">
        <v>68.188799979999999</v>
      </c>
      <c r="O83">
        <v>82</v>
      </c>
      <c r="P83">
        <v>1821.2158280000001</v>
      </c>
      <c r="Q83" s="44">
        <v>11.292968439999999</v>
      </c>
      <c r="R83">
        <v>0.354999762</v>
      </c>
      <c r="S83">
        <v>10.7829961</v>
      </c>
      <c r="T83">
        <v>0.33896854199999998</v>
      </c>
      <c r="U83">
        <v>2.695749025</v>
      </c>
      <c r="V83">
        <v>8.4742135999999996E-2</v>
      </c>
      <c r="W83">
        <v>0.43447734399999999</v>
      </c>
      <c r="X83">
        <v>1.3657999000000001E-2</v>
      </c>
      <c r="Y83">
        <v>6.2385426000000001E-2</v>
      </c>
      <c r="Z83">
        <v>1.9611149999999998E-3</v>
      </c>
      <c r="AC83" s="12" t="s">
        <v>385</v>
      </c>
    </row>
    <row r="84" spans="1:31">
      <c r="A84">
        <v>114.2</v>
      </c>
      <c r="B84" t="s">
        <v>347</v>
      </c>
      <c r="C84" t="s">
        <v>287</v>
      </c>
      <c r="D84" t="s">
        <v>301</v>
      </c>
      <c r="E84" t="s">
        <v>197</v>
      </c>
      <c r="F84" s="10">
        <v>41398</v>
      </c>
      <c r="G84" s="14" t="s">
        <v>145</v>
      </c>
      <c r="H84" t="s">
        <v>343</v>
      </c>
      <c r="I84" s="47" t="s">
        <v>349</v>
      </c>
      <c r="J84" t="s">
        <v>333</v>
      </c>
      <c r="K84">
        <v>0.4</v>
      </c>
      <c r="L84">
        <v>29.84098504</v>
      </c>
      <c r="M84">
        <v>86.2</v>
      </c>
      <c r="N84">
        <v>70.159014959999993</v>
      </c>
      <c r="O84">
        <v>82.5</v>
      </c>
      <c r="P84">
        <v>180.68749510000001</v>
      </c>
    </row>
    <row r="85" spans="1:31">
      <c r="A85">
        <v>115.2</v>
      </c>
      <c r="B85" t="s">
        <v>347</v>
      </c>
      <c r="C85" t="s">
        <v>287</v>
      </c>
      <c r="D85" t="s">
        <v>301</v>
      </c>
      <c r="E85" t="s">
        <v>193</v>
      </c>
      <c r="F85" s="10">
        <v>41398</v>
      </c>
      <c r="G85" s="14" t="s">
        <v>140</v>
      </c>
      <c r="H85" t="s">
        <v>343</v>
      </c>
      <c r="I85" s="47" t="s">
        <v>349</v>
      </c>
      <c r="J85" t="s">
        <v>333</v>
      </c>
      <c r="K85">
        <v>0.8</v>
      </c>
      <c r="L85">
        <v>13.072060889999999</v>
      </c>
      <c r="M85">
        <v>86.2</v>
      </c>
      <c r="N85">
        <v>86.927939109999997</v>
      </c>
      <c r="O85">
        <v>82.5</v>
      </c>
      <c r="P85">
        <v>35.852939970000001</v>
      </c>
      <c r="Q85" s="44">
        <v>345.0558752</v>
      </c>
      <c r="R85">
        <v>26.396440330000001</v>
      </c>
      <c r="S85">
        <v>429.74970939999997</v>
      </c>
      <c r="T85">
        <v>32.875436639999997</v>
      </c>
      <c r="U85">
        <v>51.888857080000001</v>
      </c>
      <c r="V85">
        <v>3.9694473229999998</v>
      </c>
      <c r="W85">
        <v>9.1727406780000003</v>
      </c>
      <c r="X85">
        <v>0.70170577999999995</v>
      </c>
      <c r="Y85">
        <v>5.6464842199999996</v>
      </c>
      <c r="Z85">
        <v>0.431950575</v>
      </c>
      <c r="AA85">
        <v>73.381925420000002</v>
      </c>
      <c r="AB85" s="48">
        <v>5.6136462390000004</v>
      </c>
      <c r="AC85" s="52" t="s">
        <v>388</v>
      </c>
      <c r="AD85" s="54" t="s">
        <v>395</v>
      </c>
      <c r="AE85" s="54"/>
    </row>
    <row r="86" spans="1:31">
      <c r="A86">
        <v>116.1</v>
      </c>
      <c r="B86" t="s">
        <v>347</v>
      </c>
      <c r="C86" t="s">
        <v>287</v>
      </c>
      <c r="D86" t="s">
        <v>301</v>
      </c>
      <c r="E86" t="s">
        <v>174</v>
      </c>
      <c r="F86" s="10">
        <v>41398</v>
      </c>
      <c r="G86" s="14" t="s">
        <v>140</v>
      </c>
      <c r="H86" t="s">
        <v>343</v>
      </c>
      <c r="I86" t="s">
        <v>331</v>
      </c>
      <c r="J86" t="s">
        <v>333</v>
      </c>
      <c r="K86">
        <v>0.15</v>
      </c>
      <c r="L86">
        <v>8.1210303140000004</v>
      </c>
      <c r="M86">
        <v>86</v>
      </c>
      <c r="N86">
        <v>91.878969690000005</v>
      </c>
      <c r="O86">
        <v>82.5</v>
      </c>
      <c r="P86">
        <v>60.9978373</v>
      </c>
      <c r="AC86" s="12" t="s">
        <v>387</v>
      </c>
    </row>
    <row r="87" spans="1:31">
      <c r="A87">
        <v>117.1</v>
      </c>
      <c r="B87" t="s">
        <v>347</v>
      </c>
      <c r="C87" t="s">
        <v>287</v>
      </c>
      <c r="D87" t="s">
        <v>315</v>
      </c>
      <c r="E87" t="s">
        <v>174</v>
      </c>
      <c r="F87" s="10">
        <v>41398</v>
      </c>
      <c r="G87" s="14" t="s">
        <v>145</v>
      </c>
      <c r="H87" t="s">
        <v>344</v>
      </c>
      <c r="I87" s="47" t="s">
        <v>129</v>
      </c>
      <c r="J87" t="s">
        <v>333</v>
      </c>
      <c r="K87">
        <v>0.48</v>
      </c>
      <c r="L87">
        <v>12.304376189999999</v>
      </c>
      <c r="M87">
        <v>86</v>
      </c>
      <c r="N87">
        <v>87.695623810000001</v>
      </c>
      <c r="O87">
        <v>82.5</v>
      </c>
      <c r="P87">
        <v>314.59520120000002</v>
      </c>
      <c r="AC87" s="12" t="s">
        <v>387</v>
      </c>
    </row>
    <row r="88" spans="1:31">
      <c r="A88">
        <v>118.2</v>
      </c>
      <c r="B88" t="s">
        <v>347</v>
      </c>
      <c r="C88" t="s">
        <v>287</v>
      </c>
      <c r="D88" t="s">
        <v>315</v>
      </c>
      <c r="E88" t="s">
        <v>197</v>
      </c>
      <c r="F88" s="10">
        <v>41398</v>
      </c>
      <c r="G88" s="14" t="s">
        <v>140</v>
      </c>
      <c r="H88" t="s">
        <v>344</v>
      </c>
      <c r="I88" s="47" t="s">
        <v>129</v>
      </c>
      <c r="J88" t="s">
        <v>333</v>
      </c>
      <c r="K88">
        <v>0.47</v>
      </c>
      <c r="L88">
        <v>13.072060889999999</v>
      </c>
      <c r="M88">
        <v>85.6</v>
      </c>
      <c r="N88">
        <v>86.927939109999997</v>
      </c>
      <c r="O88">
        <v>82</v>
      </c>
      <c r="P88">
        <v>658.94741060000001</v>
      </c>
      <c r="Q88" s="44">
        <v>62.423594170000001</v>
      </c>
      <c r="R88">
        <v>4.7753445079999999</v>
      </c>
      <c r="S88">
        <v>111.22620000000001</v>
      </c>
      <c r="T88">
        <v>8.5086966020000006</v>
      </c>
      <c r="U88">
        <v>21.073424259999999</v>
      </c>
      <c r="V88">
        <v>1.61209655</v>
      </c>
      <c r="W88">
        <v>2.9567648690000001</v>
      </c>
      <c r="X88">
        <v>0.22618964899999999</v>
      </c>
      <c r="Y88">
        <v>1.2288875050000001</v>
      </c>
      <c r="Z88">
        <v>9.4008703999999998E-2</v>
      </c>
      <c r="AC88" s="12" t="s">
        <v>385</v>
      </c>
    </row>
    <row r="89" spans="1:31">
      <c r="A89">
        <v>119.1</v>
      </c>
      <c r="B89" t="s">
        <v>347</v>
      </c>
      <c r="C89" t="s">
        <v>287</v>
      </c>
      <c r="D89" t="s">
        <v>319</v>
      </c>
      <c r="E89" t="s">
        <v>193</v>
      </c>
      <c r="F89" s="10">
        <v>41399</v>
      </c>
      <c r="G89" s="14" t="s">
        <v>140</v>
      </c>
      <c r="H89" t="s">
        <v>343</v>
      </c>
      <c r="I89" s="47" t="s">
        <v>82</v>
      </c>
      <c r="J89" t="s">
        <v>333</v>
      </c>
      <c r="L89">
        <v>32.31447678</v>
      </c>
      <c r="M89">
        <v>85.8</v>
      </c>
      <c r="N89">
        <v>67.685523219999993</v>
      </c>
      <c r="O89">
        <v>82.1</v>
      </c>
      <c r="P89">
        <v>2242.1796920000002</v>
      </c>
      <c r="Q89" s="44">
        <v>487.9826984</v>
      </c>
      <c r="R89">
        <v>15.10105523</v>
      </c>
      <c r="S89">
        <v>222.45240010000001</v>
      </c>
      <c r="T89">
        <v>6.883985826</v>
      </c>
      <c r="U89">
        <v>80.487128859999999</v>
      </c>
      <c r="V89">
        <v>2.4907452289999998</v>
      </c>
      <c r="W89">
        <v>15.249459330000001</v>
      </c>
      <c r="X89">
        <v>0.47190797600000001</v>
      </c>
      <c r="Y89">
        <v>7.280409101</v>
      </c>
      <c r="Z89">
        <v>0.225298684</v>
      </c>
      <c r="AA89">
        <v>116.4865456</v>
      </c>
      <c r="AB89" s="48">
        <v>3.6047789479999999</v>
      </c>
      <c r="AC89" s="12" t="s">
        <v>387</v>
      </c>
      <c r="AD89" t="s">
        <v>389</v>
      </c>
    </row>
    <row r="90" spans="1:31">
      <c r="A90">
        <v>120.1</v>
      </c>
      <c r="B90" t="s">
        <v>347</v>
      </c>
      <c r="C90" t="s">
        <v>287</v>
      </c>
      <c r="D90" t="s">
        <v>319</v>
      </c>
      <c r="E90" t="s">
        <v>97</v>
      </c>
      <c r="F90" s="10">
        <v>41399</v>
      </c>
      <c r="G90" s="14" t="s">
        <v>140</v>
      </c>
      <c r="H90" t="s">
        <v>343</v>
      </c>
      <c r="I90" s="47" t="s">
        <v>82</v>
      </c>
      <c r="J90" t="s">
        <v>333</v>
      </c>
      <c r="K90">
        <v>0.19</v>
      </c>
      <c r="L90">
        <v>29.84098504</v>
      </c>
      <c r="M90">
        <v>85.9</v>
      </c>
      <c r="N90">
        <v>70.159014959999993</v>
      </c>
      <c r="O90">
        <v>82.2</v>
      </c>
      <c r="P90">
        <v>2958.5738409999999</v>
      </c>
      <c r="Q90" s="44">
        <v>153.7049184</v>
      </c>
      <c r="R90">
        <v>5.1507990850000001</v>
      </c>
      <c r="S90">
        <v>255.5307061</v>
      </c>
      <c r="T90">
        <v>8.5630787900000005</v>
      </c>
      <c r="U90">
        <v>32.687931650000003</v>
      </c>
      <c r="V90">
        <v>1.0954039090000001</v>
      </c>
      <c r="W90">
        <v>7.9853345640000004</v>
      </c>
      <c r="X90">
        <v>0.267596212</v>
      </c>
      <c r="Y90">
        <v>3.2430535680000001</v>
      </c>
      <c r="Z90">
        <v>0.108677832</v>
      </c>
      <c r="AC90" s="12" t="s">
        <v>385</v>
      </c>
      <c r="AD90" t="s">
        <v>396</v>
      </c>
    </row>
    <row r="91" spans="1:31">
      <c r="A91">
        <v>121.1</v>
      </c>
      <c r="B91" t="s">
        <v>347</v>
      </c>
      <c r="C91" t="s">
        <v>287</v>
      </c>
      <c r="D91" t="s">
        <v>319</v>
      </c>
      <c r="E91" t="s">
        <v>193</v>
      </c>
      <c r="F91" s="10">
        <v>41399</v>
      </c>
      <c r="G91" s="14" t="s">
        <v>140</v>
      </c>
      <c r="H91" t="s">
        <v>343</v>
      </c>
      <c r="I91" s="47" t="s">
        <v>82</v>
      </c>
      <c r="J91" t="s">
        <v>333</v>
      </c>
      <c r="K91">
        <v>0.42</v>
      </c>
      <c r="L91">
        <v>27.02191556</v>
      </c>
      <c r="M91">
        <v>85.8</v>
      </c>
      <c r="N91">
        <v>72.978084440000003</v>
      </c>
      <c r="O91">
        <v>82.2</v>
      </c>
      <c r="P91">
        <v>3814.6972660000001</v>
      </c>
      <c r="Q91" s="44">
        <v>307.40983690000002</v>
      </c>
      <c r="R91">
        <v>11.3763155</v>
      </c>
      <c r="S91">
        <v>59.604644780000001</v>
      </c>
      <c r="T91">
        <v>2.2057890250000001</v>
      </c>
      <c r="U91">
        <v>56.912994619999999</v>
      </c>
      <c r="V91">
        <v>2.1061791310000002</v>
      </c>
      <c r="W91">
        <v>10.06089111</v>
      </c>
      <c r="X91">
        <v>0.37232338599999998</v>
      </c>
      <c r="Y91">
        <v>5.5175183429999999</v>
      </c>
      <c r="Z91">
        <v>0.204186795</v>
      </c>
      <c r="AC91" s="12" t="s">
        <v>385</v>
      </c>
    </row>
    <row r="92" spans="1:31">
      <c r="A92">
        <v>122.2</v>
      </c>
      <c r="B92" t="s">
        <v>347</v>
      </c>
      <c r="C92" t="s">
        <v>287</v>
      </c>
      <c r="D92" t="s">
        <v>323</v>
      </c>
      <c r="E92" t="s">
        <v>197</v>
      </c>
      <c r="F92" s="10">
        <v>41399</v>
      </c>
      <c r="G92" s="14" t="s">
        <v>140</v>
      </c>
      <c r="H92" t="s">
        <v>344</v>
      </c>
      <c r="I92" s="47" t="s">
        <v>129</v>
      </c>
      <c r="J92" t="s">
        <v>333</v>
      </c>
      <c r="K92">
        <v>0.36</v>
      </c>
      <c r="L92">
        <v>9.0257852609999993</v>
      </c>
      <c r="M92">
        <v>85.8</v>
      </c>
      <c r="N92">
        <v>90.974214739999994</v>
      </c>
      <c r="O92">
        <v>82.2</v>
      </c>
      <c r="P92">
        <v>130.75172660000001</v>
      </c>
      <c r="Q92" s="44">
        <v>15.249459330000001</v>
      </c>
      <c r="R92">
        <v>1.689543778</v>
      </c>
      <c r="S92">
        <v>33.451975830000002</v>
      </c>
      <c r="T92">
        <v>3.706267639</v>
      </c>
      <c r="U92">
        <v>5.391498049</v>
      </c>
      <c r="V92">
        <v>0.59734393100000005</v>
      </c>
      <c r="W92">
        <v>0.40538169600000001</v>
      </c>
      <c r="X92">
        <v>4.4913731999999998E-2</v>
      </c>
      <c r="Y92">
        <v>3.7525614999999998E-2</v>
      </c>
      <c r="Z92">
        <v>4.1576010000000004E-3</v>
      </c>
      <c r="AA92">
        <v>1.9507373180000001</v>
      </c>
      <c r="AB92" s="48">
        <v>0.21612937400000001</v>
      </c>
      <c r="AC92" s="12" t="s">
        <v>385</v>
      </c>
    </row>
    <row r="93" spans="1:31">
      <c r="A93">
        <v>123.1</v>
      </c>
      <c r="B93" t="s">
        <v>347</v>
      </c>
      <c r="C93" t="s">
        <v>287</v>
      </c>
      <c r="D93" t="s">
        <v>323</v>
      </c>
      <c r="E93" t="s">
        <v>97</v>
      </c>
      <c r="F93" s="10">
        <v>41399</v>
      </c>
      <c r="G93" s="14" t="s">
        <v>140</v>
      </c>
      <c r="H93" t="s">
        <v>344</v>
      </c>
      <c r="I93" s="47" t="s">
        <v>82</v>
      </c>
      <c r="J93" t="s">
        <v>333</v>
      </c>
      <c r="K93">
        <v>0.22</v>
      </c>
      <c r="L93">
        <v>8.4725661409999997</v>
      </c>
      <c r="M93">
        <v>85.8</v>
      </c>
      <c r="N93">
        <v>91.527433860000002</v>
      </c>
      <c r="O93">
        <v>82.2</v>
      </c>
      <c r="P93">
        <v>600.79999999999995</v>
      </c>
      <c r="AC93" s="12" t="s">
        <v>387</v>
      </c>
    </row>
    <row r="95" spans="1:31">
      <c r="D95" t="s">
        <v>397</v>
      </c>
      <c r="F95" t="s">
        <v>400</v>
      </c>
    </row>
    <row r="96" spans="1:31">
      <c r="D96" t="s">
        <v>398</v>
      </c>
      <c r="G96" t="s">
        <v>399</v>
      </c>
    </row>
    <row r="97" spans="2:11">
      <c r="D97" t="s">
        <v>26</v>
      </c>
      <c r="E97" t="s">
        <v>328</v>
      </c>
      <c r="F97" t="s">
        <v>401</v>
      </c>
      <c r="G97" t="s">
        <v>402</v>
      </c>
      <c r="H97" t="s">
        <v>403</v>
      </c>
      <c r="I97" t="s">
        <v>404</v>
      </c>
      <c r="J97" t="s">
        <v>405</v>
      </c>
      <c r="K97" t="s">
        <v>406</v>
      </c>
    </row>
    <row r="98" spans="2:11">
      <c r="B98" t="s">
        <v>407</v>
      </c>
      <c r="D98" t="s">
        <v>339</v>
      </c>
      <c r="E98" t="s">
        <v>412</v>
      </c>
      <c r="F98" s="54" t="s">
        <v>12</v>
      </c>
      <c r="G98" t="s">
        <v>329</v>
      </c>
      <c r="H98" t="s">
        <v>329</v>
      </c>
      <c r="I98" s="54" t="s">
        <v>12</v>
      </c>
      <c r="J98" t="s">
        <v>329</v>
      </c>
      <c r="K98" s="54" t="s">
        <v>12</v>
      </c>
    </row>
    <row r="99" spans="2:11">
      <c r="B99" t="s">
        <v>408</v>
      </c>
      <c r="D99" t="s">
        <v>409</v>
      </c>
      <c r="E99" t="s">
        <v>413</v>
      </c>
      <c r="F99" s="54" t="s">
        <v>413</v>
      </c>
      <c r="G99" t="s">
        <v>416</v>
      </c>
      <c r="H99" t="s">
        <v>413</v>
      </c>
      <c r="I99" s="54" t="s">
        <v>413</v>
      </c>
      <c r="J99" t="s">
        <v>413</v>
      </c>
      <c r="K99" s="54" t="s">
        <v>413</v>
      </c>
    </row>
    <row r="100" spans="2:11">
      <c r="B100" t="s">
        <v>410</v>
      </c>
      <c r="D100" t="s">
        <v>411</v>
      </c>
      <c r="E100" t="s">
        <v>414</v>
      </c>
      <c r="F100" s="54" t="s">
        <v>415</v>
      </c>
      <c r="G100" s="55" t="s">
        <v>417</v>
      </c>
      <c r="H100" s="55" t="s">
        <v>417</v>
      </c>
      <c r="I100" s="54" t="s">
        <v>415</v>
      </c>
      <c r="J100" t="s">
        <v>418</v>
      </c>
      <c r="K100" s="54" t="s">
        <v>415</v>
      </c>
    </row>
    <row r="106" spans="2:11">
      <c r="E106">
        <f>7500/60</f>
        <v>125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info</vt:lpstr>
      <vt:lpstr>gene expression</vt:lpstr>
    </vt:vector>
  </TitlesOfParts>
  <Company>Khaled bin Sultan Living Oceans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Mayfield</dc:creator>
  <cp:lastModifiedBy>Anderson Mayfield</cp:lastModifiedBy>
  <dcterms:created xsi:type="dcterms:W3CDTF">2016-10-26T14:19:12Z</dcterms:created>
  <dcterms:modified xsi:type="dcterms:W3CDTF">2018-03-25T04:54:16Z</dcterms:modified>
</cp:coreProperties>
</file>