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9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date1904="1" showInkAnnotation="0" autoCompressPictures="0"/>
  <bookViews>
    <workbookView xWindow="-20" yWindow="0" windowWidth="27880" windowHeight="17400" tabRatio="782" activeTab="10"/>
  </bookViews>
  <sheets>
    <sheet name="temp data" sheetId="1" r:id="rId1"/>
    <sheet name="extractions" sheetId="2" r:id="rId2"/>
    <sheet name="HSP70H DNA" sheetId="7" r:id="rId3"/>
    <sheet name="hsp70z DNA" sheetId="6" r:id="rId4"/>
    <sheet name="hsp70z cDNA" sheetId="5" r:id="rId5"/>
    <sheet name="hsp70h cDNA" sheetId="4" r:id="rId6"/>
    <sheet name="host EST breakdown" sheetId="8" r:id="rId7"/>
    <sheet name="Sym EST breakdown" sheetId="9" r:id="rId8"/>
    <sheet name="2012 qPCRs" sheetId="10" r:id="rId9"/>
    <sheet name="Sheet1" sheetId="11" r:id="rId10"/>
    <sheet name="PRIMER 2016" sheetId="12" r:id="rId1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98" i="2" l="1"/>
  <c r="AB97" i="2"/>
  <c r="Y2" i="2"/>
  <c r="Z10" i="2"/>
  <c r="Z14" i="2"/>
  <c r="Z16" i="2"/>
  <c r="Z17" i="2"/>
  <c r="Z18" i="2"/>
  <c r="Z19" i="2"/>
  <c r="Z21" i="2"/>
  <c r="Z22" i="2"/>
  <c r="Z23" i="2"/>
  <c r="Z24" i="2"/>
  <c r="Z25" i="2"/>
  <c r="Z26" i="2"/>
  <c r="Z27" i="2"/>
  <c r="Z28" i="2"/>
  <c r="Z29" i="2"/>
  <c r="Z30" i="2"/>
  <c r="Z31" i="2"/>
  <c r="Z33" i="2"/>
  <c r="Z34" i="2"/>
  <c r="Z35" i="2"/>
  <c r="Z36" i="2"/>
  <c r="Z37" i="2"/>
  <c r="Z38" i="2"/>
  <c r="Z39" i="2"/>
  <c r="Z40" i="2"/>
  <c r="Z41" i="2"/>
  <c r="Z42" i="2"/>
  <c r="Z43" i="2"/>
  <c r="Z45" i="2"/>
  <c r="Z46" i="2"/>
  <c r="Z48" i="2"/>
  <c r="Z49" i="2"/>
  <c r="Z50" i="2"/>
  <c r="Z51" i="2"/>
  <c r="Z52" i="2"/>
  <c r="Z53" i="2"/>
  <c r="Z54" i="2"/>
  <c r="Z55" i="2"/>
  <c r="Z56" i="2"/>
  <c r="Z58" i="2"/>
  <c r="Z66" i="2"/>
  <c r="Z70" i="2"/>
  <c r="Z71" i="2"/>
  <c r="Z72" i="2"/>
  <c r="Z73" i="2"/>
  <c r="Z74" i="2"/>
  <c r="Z75" i="2"/>
  <c r="Z76" i="2"/>
  <c r="Z77" i="2"/>
  <c r="Z78" i="2"/>
  <c r="Z84" i="2"/>
  <c r="Z87" i="2"/>
  <c r="Z88" i="2"/>
  <c r="Z90" i="2"/>
  <c r="AS37" i="2"/>
  <c r="AS36" i="2"/>
  <c r="AS35" i="2"/>
  <c r="AS2" i="2"/>
  <c r="EF28" i="10"/>
  <c r="EF27" i="10"/>
  <c r="EE28" i="10"/>
  <c r="EE27" i="10"/>
  <c r="EZ3" i="10"/>
  <c r="EY27" i="10"/>
  <c r="EY29" i="10"/>
  <c r="EY28" i="10"/>
  <c r="EX28" i="10"/>
  <c r="EX27" i="10"/>
  <c r="EP3" i="10"/>
  <c r="EP31" i="10"/>
  <c r="EP30" i="10"/>
  <c r="EP29" i="10"/>
  <c r="EP28" i="10"/>
  <c r="DV3" i="10"/>
  <c r="DW27" i="10"/>
  <c r="DW26" i="10"/>
  <c r="DX26" i="10"/>
  <c r="DV27" i="10"/>
  <c r="DV26" i="10"/>
  <c r="DL3" i="10"/>
  <c r="DK31" i="10"/>
  <c r="DK30" i="10"/>
  <c r="DK29" i="10"/>
  <c r="DK28" i="10"/>
  <c r="DB3" i="10"/>
  <c r="DB30" i="10"/>
  <c r="DB29" i="10"/>
  <c r="DB28" i="10"/>
  <c r="DB27" i="10"/>
  <c r="CQ30" i="10"/>
  <c r="CQ29" i="10"/>
  <c r="CQ28" i="10"/>
  <c r="CQ27" i="10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2" i="4"/>
  <c r="M2" i="4"/>
  <c r="L2" i="4"/>
  <c r="I75" i="4"/>
  <c r="I74" i="4"/>
  <c r="H74" i="4"/>
  <c r="BO30" i="10"/>
  <c r="BO29" i="10"/>
  <c r="BO28" i="10"/>
  <c r="BO27" i="10"/>
  <c r="CH3" i="10"/>
  <c r="CH29" i="10"/>
  <c r="CH28" i="10"/>
  <c r="CG29" i="10"/>
  <c r="CG28" i="10"/>
  <c r="N2" i="5"/>
  <c r="O2" i="5"/>
  <c r="H79" i="5"/>
  <c r="H77" i="5"/>
  <c r="H76" i="5"/>
  <c r="I75" i="5"/>
  <c r="H75" i="5"/>
  <c r="BZ38" i="10"/>
  <c r="BZ37" i="10"/>
  <c r="AT84" i="10"/>
  <c r="AT83" i="10"/>
  <c r="AT29" i="10"/>
  <c r="AS29" i="10"/>
  <c r="BD3" i="10"/>
  <c r="BD31" i="10"/>
  <c r="AY29" i="10"/>
  <c r="AZ28" i="10"/>
  <c r="BC29" i="10"/>
  <c r="BC28" i="10"/>
  <c r="I30" i="10"/>
  <c r="DW3" i="10"/>
  <c r="J31" i="10"/>
  <c r="FB3" i="10"/>
  <c r="FA3" i="10"/>
  <c r="EG3" i="10"/>
  <c r="EH3" i="10"/>
  <c r="K32" i="10"/>
  <c r="L3" i="10"/>
  <c r="EG4" i="10"/>
  <c r="EG5" i="10"/>
  <c r="EG6" i="10"/>
  <c r="EG7" i="10"/>
  <c r="EG8" i="10"/>
  <c r="EG9" i="10"/>
  <c r="EG10" i="10"/>
  <c r="EG11" i="10"/>
  <c r="EG12" i="10"/>
  <c r="EG13" i="10"/>
  <c r="EG14" i="10"/>
  <c r="EG15" i="10"/>
  <c r="EG16" i="10"/>
  <c r="EG17" i="10"/>
  <c r="EG18" i="10"/>
  <c r="EG19" i="10"/>
  <c r="EG20" i="10"/>
  <c r="EG21" i="10"/>
  <c r="EG22" i="10"/>
  <c r="EG23" i="10"/>
  <c r="EG24" i="10"/>
  <c r="EG25" i="10"/>
  <c r="DA30" i="10"/>
  <c r="I35" i="10"/>
  <c r="I34" i="10"/>
  <c r="BO3" i="10"/>
  <c r="BP37" i="10"/>
  <c r="BP35" i="10"/>
  <c r="BF35" i="10"/>
  <c r="BE3" i="10"/>
  <c r="AA59" i="5"/>
  <c r="AA58" i="5"/>
  <c r="AA57" i="5"/>
  <c r="AA56" i="5"/>
  <c r="AA55" i="5"/>
  <c r="AA54" i="5"/>
  <c r="AA53" i="5"/>
  <c r="AA52" i="5"/>
  <c r="AA51" i="5"/>
  <c r="AA50" i="5"/>
  <c r="AA49" i="5"/>
  <c r="AA48" i="5"/>
  <c r="AA47" i="5"/>
  <c r="AA46" i="5"/>
  <c r="AA45" i="5"/>
  <c r="AA44" i="5"/>
  <c r="AA43" i="5"/>
  <c r="AA42" i="5"/>
  <c r="AA41" i="5"/>
  <c r="AA40" i="5"/>
  <c r="AA39" i="5"/>
  <c r="AA38" i="5"/>
  <c r="AA37" i="5"/>
  <c r="AA36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AU27" i="10"/>
  <c r="AT3" i="10"/>
  <c r="AP3" i="10"/>
  <c r="BZ31" i="10"/>
  <c r="AW11" i="2"/>
  <c r="AW10" i="2"/>
  <c r="AW7" i="2"/>
  <c r="AW3" i="2"/>
  <c r="AS24" i="2"/>
  <c r="AS20" i="2"/>
  <c r="AS19" i="2"/>
  <c r="AS13" i="2"/>
  <c r="AS12" i="2"/>
  <c r="AS11" i="2"/>
  <c r="AS10" i="2"/>
  <c r="AS9" i="2"/>
  <c r="AS8" i="2"/>
  <c r="AS6" i="2"/>
  <c r="AS5" i="2"/>
  <c r="AS4" i="2"/>
  <c r="AS3" i="2"/>
  <c r="AE83" i="2"/>
  <c r="AE74" i="2"/>
  <c r="AE73" i="2"/>
  <c r="AE71" i="2"/>
  <c r="AI3" i="2"/>
  <c r="AG8" i="2"/>
  <c r="AG7" i="2"/>
  <c r="AG6" i="2"/>
  <c r="AG5" i="2"/>
  <c r="AG4" i="2"/>
  <c r="AG3" i="2"/>
  <c r="AE8" i="2"/>
  <c r="AE7" i="2"/>
  <c r="AE6" i="2"/>
  <c r="AE5" i="2"/>
  <c r="AE4" i="2"/>
  <c r="AE3" i="2"/>
  <c r="AE14" i="2"/>
  <c r="X112" i="2"/>
  <c r="X111" i="2"/>
  <c r="E4" i="9"/>
  <c r="C16" i="9"/>
  <c r="H9" i="9"/>
  <c r="E2" i="9"/>
  <c r="F44" i="8"/>
  <c r="Q113" i="11"/>
  <c r="Q118" i="11"/>
  <c r="R113" i="11"/>
  <c r="V130" i="11"/>
  <c r="S125" i="11"/>
  <c r="R125" i="11"/>
  <c r="Q125" i="11"/>
  <c r="S124" i="11"/>
  <c r="R124" i="11"/>
  <c r="Q124" i="11"/>
  <c r="S123" i="11"/>
  <c r="R123" i="11"/>
  <c r="Q123" i="11"/>
  <c r="S122" i="11"/>
  <c r="R122" i="11"/>
  <c r="Q122" i="11"/>
  <c r="S121" i="11"/>
  <c r="R121" i="11"/>
  <c r="Q121" i="11"/>
  <c r="S120" i="11"/>
  <c r="R120" i="11"/>
  <c r="Q120" i="11"/>
  <c r="S118" i="11"/>
  <c r="R118" i="11"/>
  <c r="S119" i="11"/>
  <c r="R119" i="11"/>
  <c r="Q119" i="11"/>
  <c r="S117" i="11"/>
  <c r="R117" i="11"/>
  <c r="Q117" i="11"/>
  <c r="S116" i="11"/>
  <c r="R116" i="11"/>
  <c r="Q116" i="11"/>
  <c r="S115" i="11"/>
  <c r="R115" i="11"/>
  <c r="Q115" i="11"/>
  <c r="R114" i="11"/>
  <c r="S113" i="11"/>
  <c r="R112" i="11"/>
  <c r="S112" i="11"/>
  <c r="S114" i="11"/>
  <c r="Q112" i="11"/>
  <c r="V110" i="11"/>
  <c r="V135" i="11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10" i="4"/>
  <c r="AX33" i="4"/>
  <c r="AX32" i="4"/>
  <c r="AX31" i="4"/>
  <c r="AX30" i="4"/>
  <c r="AX29" i="4"/>
  <c r="AX28" i="4"/>
  <c r="AX27" i="4"/>
  <c r="AX26" i="4"/>
  <c r="AX25" i="4"/>
  <c r="AX24" i="4"/>
  <c r="AX23" i="4"/>
  <c r="AX22" i="4"/>
  <c r="AX21" i="4"/>
  <c r="AX20" i="4"/>
  <c r="AX19" i="4"/>
  <c r="AX18" i="4"/>
  <c r="AX17" i="4"/>
  <c r="AX16" i="4"/>
  <c r="AX15" i="4"/>
  <c r="AX14" i="4"/>
  <c r="AX13" i="4"/>
  <c r="AX12" i="4"/>
  <c r="AX11" i="4"/>
  <c r="AX10" i="4"/>
  <c r="AW38" i="4"/>
  <c r="R98" i="11"/>
  <c r="R97" i="11"/>
  <c r="R96" i="11"/>
  <c r="R95" i="11"/>
  <c r="R94" i="11"/>
  <c r="R93" i="11"/>
  <c r="T125" i="11"/>
  <c r="S126" i="11"/>
  <c r="S127" i="11"/>
  <c r="S128" i="11"/>
  <c r="S129" i="11"/>
  <c r="S130" i="11"/>
  <c r="Q114" i="11"/>
  <c r="G80" i="11"/>
  <c r="AB68" i="11"/>
  <c r="C52" i="11"/>
  <c r="C53" i="11"/>
  <c r="C62" i="11"/>
  <c r="AE13" i="11"/>
  <c r="AE14" i="11"/>
  <c r="AE15" i="11"/>
  <c r="AE16" i="11"/>
  <c r="AE17" i="11"/>
  <c r="AE18" i="11"/>
  <c r="AE19" i="11"/>
  <c r="AE20" i="11"/>
  <c r="AE21" i="11"/>
  <c r="AE22" i="11"/>
  <c r="AE23" i="11"/>
  <c r="AE56" i="11"/>
  <c r="AE57" i="11"/>
  <c r="AE66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2" i="11"/>
  <c r="AE3" i="11"/>
  <c r="AE4" i="11"/>
  <c r="AE5" i="11"/>
  <c r="AE6" i="11"/>
  <c r="AE7" i="11"/>
  <c r="AE8" i="11"/>
  <c r="AE9" i="11"/>
  <c r="AE10" i="11"/>
  <c r="AE11" i="11"/>
  <c r="AD56" i="11"/>
  <c r="AD57" i="11"/>
  <c r="AD66" i="11"/>
  <c r="AE65" i="11"/>
  <c r="AD65" i="11"/>
  <c r="AE55" i="11"/>
  <c r="AE64" i="11"/>
  <c r="AD55" i="11"/>
  <c r="AD64" i="11"/>
  <c r="AE52" i="11"/>
  <c r="AE53" i="11"/>
  <c r="AE62" i="11"/>
  <c r="AE12" i="11"/>
  <c r="AD52" i="11"/>
  <c r="AD53" i="11"/>
  <c r="AD62" i="11"/>
  <c r="AE61" i="11"/>
  <c r="AD61" i="11"/>
  <c r="AE51" i="11"/>
  <c r="AE60" i="11"/>
  <c r="AD51" i="11"/>
  <c r="AD60" i="11"/>
  <c r="AC13" i="11"/>
  <c r="AC14" i="11"/>
  <c r="AC15" i="11"/>
  <c r="AC16" i="11"/>
  <c r="AC17" i="11"/>
  <c r="AC18" i="11"/>
  <c r="AC19" i="11"/>
  <c r="AC20" i="11"/>
  <c r="AC21" i="11"/>
  <c r="AC22" i="11"/>
  <c r="AC23" i="11"/>
  <c r="AC56" i="11"/>
  <c r="AC57" i="11"/>
  <c r="AC66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2" i="11"/>
  <c r="AC3" i="11"/>
  <c r="AC4" i="11"/>
  <c r="AC5" i="11"/>
  <c r="AC6" i="11"/>
  <c r="AC7" i="11"/>
  <c r="AC8" i="11"/>
  <c r="AC9" i="11"/>
  <c r="AC10" i="11"/>
  <c r="AC11" i="11"/>
  <c r="AB56" i="11"/>
  <c r="AB57" i="11"/>
  <c r="AB66" i="11"/>
  <c r="AC65" i="11"/>
  <c r="AB65" i="11"/>
  <c r="AC55" i="11"/>
  <c r="AC64" i="11"/>
  <c r="AB55" i="11"/>
  <c r="AB64" i="11"/>
  <c r="AC52" i="11"/>
  <c r="AC53" i="11"/>
  <c r="AC62" i="11"/>
  <c r="AC12" i="11"/>
  <c r="AB52" i="11"/>
  <c r="AB53" i="11"/>
  <c r="AB62" i="11"/>
  <c r="AC61" i="11"/>
  <c r="AB61" i="11"/>
  <c r="AC51" i="11"/>
  <c r="AC60" i="11"/>
  <c r="AB51" i="11"/>
  <c r="AB60" i="11"/>
  <c r="AA3" i="11"/>
  <c r="AA4" i="11"/>
  <c r="AA5" i="11"/>
  <c r="AA6" i="11"/>
  <c r="AA7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2" i="11"/>
  <c r="AA56" i="11"/>
  <c r="AA57" i="11"/>
  <c r="AA66" i="11"/>
  <c r="Z56" i="11"/>
  <c r="Z57" i="11"/>
  <c r="Z66" i="11"/>
  <c r="AA65" i="11"/>
  <c r="Z65" i="11"/>
  <c r="AA55" i="11"/>
  <c r="AA64" i="11"/>
  <c r="Z55" i="11"/>
  <c r="Z64" i="11"/>
  <c r="AA52" i="11"/>
  <c r="AA53" i="11"/>
  <c r="AA62" i="11"/>
  <c r="Z52" i="11"/>
  <c r="Z53" i="11"/>
  <c r="Z62" i="11"/>
  <c r="AA61" i="11"/>
  <c r="Z61" i="11"/>
  <c r="AA51" i="11"/>
  <c r="AA60" i="11"/>
  <c r="Z51" i="11"/>
  <c r="Z60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52" i="11"/>
  <c r="Y53" i="11"/>
  <c r="Y51" i="11"/>
  <c r="Y2" i="11"/>
  <c r="Y3" i="11"/>
  <c r="Y4" i="11"/>
  <c r="Y5" i="11"/>
  <c r="Y6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X52" i="11"/>
  <c r="X53" i="11"/>
  <c r="X51" i="11"/>
  <c r="Y56" i="11"/>
  <c r="Y57" i="11"/>
  <c r="Y66" i="11"/>
  <c r="X56" i="11"/>
  <c r="X57" i="11"/>
  <c r="X66" i="11"/>
  <c r="Y65" i="11"/>
  <c r="X65" i="11"/>
  <c r="Y55" i="11"/>
  <c r="Y64" i="11"/>
  <c r="X55" i="11"/>
  <c r="X64" i="11"/>
  <c r="Y62" i="11"/>
  <c r="X62" i="11"/>
  <c r="Y61" i="11"/>
  <c r="X61" i="11"/>
  <c r="Y60" i="11"/>
  <c r="X60" i="11"/>
  <c r="W13" i="11"/>
  <c r="W14" i="11"/>
  <c r="W15" i="11"/>
  <c r="W16" i="11"/>
  <c r="W17" i="11"/>
  <c r="W18" i="11"/>
  <c r="W19" i="11"/>
  <c r="W20" i="11"/>
  <c r="W21" i="11"/>
  <c r="W22" i="11"/>
  <c r="W23" i="11"/>
  <c r="W56" i="11"/>
  <c r="W57" i="11"/>
  <c r="W66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2" i="11"/>
  <c r="W3" i="11"/>
  <c r="W4" i="11"/>
  <c r="W5" i="11"/>
  <c r="W6" i="11"/>
  <c r="W7" i="11"/>
  <c r="W8" i="11"/>
  <c r="W9" i="11"/>
  <c r="W10" i="11"/>
  <c r="W11" i="11"/>
  <c r="V56" i="11"/>
  <c r="V57" i="11"/>
  <c r="V66" i="11"/>
  <c r="W65" i="11"/>
  <c r="V65" i="11"/>
  <c r="W55" i="11"/>
  <c r="W64" i="11"/>
  <c r="V55" i="11"/>
  <c r="V64" i="11"/>
  <c r="W52" i="11"/>
  <c r="W53" i="11"/>
  <c r="W62" i="11"/>
  <c r="V52" i="11"/>
  <c r="V53" i="11"/>
  <c r="V62" i="11"/>
  <c r="W61" i="11"/>
  <c r="V61" i="11"/>
  <c r="W51" i="11"/>
  <c r="W60" i="11"/>
  <c r="V51" i="11"/>
  <c r="V60" i="11"/>
  <c r="U13" i="11"/>
  <c r="U14" i="11"/>
  <c r="U15" i="11"/>
  <c r="U16" i="11"/>
  <c r="U17" i="11"/>
  <c r="U18" i="11"/>
  <c r="U19" i="11"/>
  <c r="U20" i="11"/>
  <c r="U21" i="11"/>
  <c r="U22" i="11"/>
  <c r="U23" i="11"/>
  <c r="U56" i="11"/>
  <c r="U57" i="11"/>
  <c r="U66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3" i="11"/>
  <c r="U4" i="11"/>
  <c r="U5" i="11"/>
  <c r="U6" i="11"/>
  <c r="U7" i="11"/>
  <c r="U8" i="11"/>
  <c r="U9" i="11"/>
  <c r="U10" i="11"/>
  <c r="U11" i="11"/>
  <c r="U2" i="11"/>
  <c r="T56" i="11"/>
  <c r="T57" i="11"/>
  <c r="T66" i="11"/>
  <c r="U65" i="11"/>
  <c r="T65" i="11"/>
  <c r="U55" i="11"/>
  <c r="U64" i="11"/>
  <c r="T55" i="11"/>
  <c r="T64" i="11"/>
  <c r="U52" i="11"/>
  <c r="U53" i="11"/>
  <c r="U62" i="11"/>
  <c r="T52" i="11"/>
  <c r="T53" i="11"/>
  <c r="T62" i="11"/>
  <c r="U61" i="11"/>
  <c r="T61" i="11"/>
  <c r="U51" i="11"/>
  <c r="U60" i="11"/>
  <c r="T51" i="11"/>
  <c r="T60" i="11"/>
  <c r="S13" i="11"/>
  <c r="S14" i="11"/>
  <c r="S15" i="11"/>
  <c r="S16" i="11"/>
  <c r="S17" i="11"/>
  <c r="S18" i="11"/>
  <c r="S19" i="11"/>
  <c r="S20" i="11"/>
  <c r="S21" i="11"/>
  <c r="S22" i="11"/>
  <c r="S23" i="11"/>
  <c r="S56" i="11"/>
  <c r="S57" i="11"/>
  <c r="S66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9" i="11"/>
  <c r="S40" i="11"/>
  <c r="S41" i="11"/>
  <c r="S42" i="11"/>
  <c r="S43" i="11"/>
  <c r="S44" i="11"/>
  <c r="S45" i="11"/>
  <c r="S46" i="11"/>
  <c r="S3" i="11"/>
  <c r="S4" i="11"/>
  <c r="S5" i="11"/>
  <c r="S6" i="11"/>
  <c r="S7" i="11"/>
  <c r="S8" i="11"/>
  <c r="S9" i="11"/>
  <c r="S10" i="11"/>
  <c r="S2" i="11"/>
  <c r="S11" i="11"/>
  <c r="R56" i="11"/>
  <c r="R57" i="11"/>
  <c r="R66" i="11"/>
  <c r="S65" i="11"/>
  <c r="R65" i="11"/>
  <c r="S55" i="11"/>
  <c r="S64" i="11"/>
  <c r="R55" i="11"/>
  <c r="R64" i="11"/>
  <c r="S52" i="11"/>
  <c r="S53" i="11"/>
  <c r="S62" i="11"/>
  <c r="R52" i="11"/>
  <c r="R53" i="11"/>
  <c r="R62" i="11"/>
  <c r="S61" i="11"/>
  <c r="R61" i="11"/>
  <c r="S51" i="11"/>
  <c r="S60" i="11"/>
  <c r="R51" i="11"/>
  <c r="R60" i="11"/>
  <c r="Q13" i="11"/>
  <c r="Q14" i="11"/>
  <c r="Q15" i="11"/>
  <c r="Q16" i="11"/>
  <c r="Q17" i="11"/>
  <c r="Q18" i="11"/>
  <c r="Q19" i="11"/>
  <c r="Q20" i="11"/>
  <c r="Q21" i="11"/>
  <c r="Q22" i="11"/>
  <c r="Q23" i="11"/>
  <c r="Q56" i="11"/>
  <c r="Q57" i="11"/>
  <c r="Q66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3" i="11"/>
  <c r="Q4" i="11"/>
  <c r="Q5" i="11"/>
  <c r="Q6" i="11"/>
  <c r="Q7" i="11"/>
  <c r="Q8" i="11"/>
  <c r="Q9" i="11"/>
  <c r="Q10" i="11"/>
  <c r="Q11" i="11"/>
  <c r="Q2" i="11"/>
  <c r="P56" i="11"/>
  <c r="P57" i="11"/>
  <c r="P66" i="11"/>
  <c r="Q65" i="11"/>
  <c r="P65" i="11"/>
  <c r="Q55" i="11"/>
  <c r="Q64" i="11"/>
  <c r="P55" i="11"/>
  <c r="P64" i="11"/>
  <c r="Q52" i="11"/>
  <c r="Q53" i="11"/>
  <c r="Q62" i="11"/>
  <c r="P52" i="11"/>
  <c r="P53" i="11"/>
  <c r="P62" i="11"/>
  <c r="Q61" i="11"/>
  <c r="P61" i="11"/>
  <c r="Q51" i="11"/>
  <c r="Q60" i="11"/>
  <c r="P51" i="11"/>
  <c r="P60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51" i="11"/>
  <c r="O13" i="11"/>
  <c r="O14" i="11"/>
  <c r="O15" i="11"/>
  <c r="O16" i="11"/>
  <c r="O17" i="11"/>
  <c r="O18" i="11"/>
  <c r="O19" i="11"/>
  <c r="O20" i="11"/>
  <c r="O21" i="11"/>
  <c r="O22" i="11"/>
  <c r="O23" i="11"/>
  <c r="O56" i="11"/>
  <c r="O57" i="11"/>
  <c r="O66" i="11"/>
  <c r="O3" i="11"/>
  <c r="O4" i="11"/>
  <c r="O5" i="11"/>
  <c r="O6" i="11"/>
  <c r="O7" i="11"/>
  <c r="O8" i="11"/>
  <c r="O9" i="11"/>
  <c r="O10" i="11"/>
  <c r="O11" i="11"/>
  <c r="O2" i="11"/>
  <c r="N56" i="11"/>
  <c r="N57" i="11"/>
  <c r="N66" i="11"/>
  <c r="O65" i="11"/>
  <c r="N65" i="11"/>
  <c r="O55" i="11"/>
  <c r="O64" i="11"/>
  <c r="N55" i="11"/>
  <c r="N64" i="11"/>
  <c r="O52" i="11"/>
  <c r="O53" i="11"/>
  <c r="O62" i="11"/>
  <c r="N52" i="11"/>
  <c r="N53" i="11"/>
  <c r="N62" i="11"/>
  <c r="O61" i="11"/>
  <c r="N61" i="11"/>
  <c r="O60" i="11"/>
  <c r="N51" i="11"/>
  <c r="N60" i="11"/>
  <c r="D52" i="11"/>
  <c r="D53" i="11"/>
  <c r="D62" i="11"/>
  <c r="C61" i="11"/>
  <c r="D61" i="11"/>
  <c r="G3" i="11"/>
  <c r="G4" i="11"/>
  <c r="G5" i="11"/>
  <c r="G6" i="11"/>
  <c r="G7" i="11"/>
  <c r="G8" i="11"/>
  <c r="G9" i="11"/>
  <c r="G10" i="11"/>
  <c r="G11" i="11"/>
  <c r="G13" i="11"/>
  <c r="G14" i="11"/>
  <c r="G15" i="11"/>
  <c r="G16" i="11"/>
  <c r="G17" i="11"/>
  <c r="G18" i="11"/>
  <c r="G19" i="11"/>
  <c r="G20" i="11"/>
  <c r="G21" i="11"/>
  <c r="G22" i="11"/>
  <c r="G23" i="11"/>
  <c r="G2" i="11"/>
  <c r="F52" i="11"/>
  <c r="F61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52" i="11"/>
  <c r="G61" i="11"/>
  <c r="H52" i="11"/>
  <c r="H61" i="11"/>
  <c r="I52" i="11"/>
  <c r="I61" i="11"/>
  <c r="J61" i="11"/>
  <c r="K61" i="11"/>
  <c r="M3" i="11"/>
  <c r="M4" i="11"/>
  <c r="M5" i="11"/>
  <c r="M6" i="11"/>
  <c r="M7" i="11"/>
  <c r="M8" i="11"/>
  <c r="M9" i="11"/>
  <c r="M10" i="11"/>
  <c r="M11" i="11"/>
  <c r="M13" i="11"/>
  <c r="M14" i="11"/>
  <c r="M15" i="11"/>
  <c r="M16" i="11"/>
  <c r="M17" i="11"/>
  <c r="M18" i="11"/>
  <c r="M19" i="11"/>
  <c r="M20" i="11"/>
  <c r="M21" i="11"/>
  <c r="M22" i="11"/>
  <c r="M23" i="11"/>
  <c r="M2" i="11"/>
  <c r="L52" i="11"/>
  <c r="L61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52" i="11"/>
  <c r="M61" i="11"/>
  <c r="F53" i="11"/>
  <c r="F62" i="11"/>
  <c r="G53" i="11"/>
  <c r="G62" i="11"/>
  <c r="H53" i="11"/>
  <c r="H62" i="11"/>
  <c r="I53" i="11"/>
  <c r="I62" i="11"/>
  <c r="J62" i="11"/>
  <c r="K62" i="11"/>
  <c r="L53" i="11"/>
  <c r="L62" i="11"/>
  <c r="M53" i="11"/>
  <c r="M62" i="11"/>
  <c r="C55" i="11"/>
  <c r="C64" i="11"/>
  <c r="D55" i="11"/>
  <c r="D64" i="11"/>
  <c r="F55" i="11"/>
  <c r="F64" i="11"/>
  <c r="G55" i="11"/>
  <c r="G64" i="11"/>
  <c r="H55" i="11"/>
  <c r="H64" i="11"/>
  <c r="I55" i="11"/>
  <c r="I64" i="11"/>
  <c r="J64" i="11"/>
  <c r="K64" i="11"/>
  <c r="L55" i="11"/>
  <c r="L64" i="11"/>
  <c r="M55" i="11"/>
  <c r="M64" i="11"/>
  <c r="C56" i="11"/>
  <c r="C65" i="11"/>
  <c r="D56" i="11"/>
  <c r="D65" i="11"/>
  <c r="F56" i="11"/>
  <c r="F65" i="11"/>
  <c r="G56" i="11"/>
  <c r="G65" i="11"/>
  <c r="H56" i="11"/>
  <c r="H65" i="11"/>
  <c r="I56" i="11"/>
  <c r="I65" i="11"/>
  <c r="J65" i="11"/>
  <c r="K65" i="11"/>
  <c r="L56" i="11"/>
  <c r="L65" i="11"/>
  <c r="M56" i="11"/>
  <c r="M65" i="11"/>
  <c r="C57" i="11"/>
  <c r="C66" i="11"/>
  <c r="D57" i="11"/>
  <c r="D66" i="11"/>
  <c r="F57" i="11"/>
  <c r="F66" i="11"/>
  <c r="G57" i="11"/>
  <c r="G66" i="11"/>
  <c r="H57" i="11"/>
  <c r="H66" i="11"/>
  <c r="I57" i="11"/>
  <c r="I66" i="11"/>
  <c r="J66" i="11"/>
  <c r="K66" i="11"/>
  <c r="L57" i="11"/>
  <c r="L66" i="11"/>
  <c r="M57" i="11"/>
  <c r="M66" i="11"/>
  <c r="D51" i="11"/>
  <c r="D60" i="11"/>
  <c r="F51" i="11"/>
  <c r="F60" i="11"/>
  <c r="G51" i="11"/>
  <c r="G60" i="11"/>
  <c r="H51" i="11"/>
  <c r="H60" i="11"/>
  <c r="I51" i="11"/>
  <c r="I60" i="11"/>
  <c r="J60" i="11"/>
  <c r="K60" i="11"/>
  <c r="L51" i="11"/>
  <c r="L60" i="11"/>
  <c r="M51" i="11"/>
  <c r="M60" i="11"/>
  <c r="C51" i="11"/>
  <c r="C60" i="11"/>
  <c r="K3" i="11"/>
  <c r="K4" i="11"/>
  <c r="K5" i="11"/>
  <c r="K6" i="11"/>
  <c r="K7" i="11"/>
  <c r="K8" i="11"/>
  <c r="K9" i="11"/>
  <c r="K10" i="11"/>
  <c r="K11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2" i="11"/>
  <c r="I24" i="11"/>
  <c r="I3" i="11"/>
  <c r="I4" i="11"/>
  <c r="I5" i="11"/>
  <c r="I6" i="11"/>
  <c r="I7" i="11"/>
  <c r="I8" i="11"/>
  <c r="I9" i="11"/>
  <c r="I10" i="11"/>
  <c r="I11" i="11"/>
  <c r="I13" i="11"/>
  <c r="I14" i="11"/>
  <c r="I15" i="11"/>
  <c r="I16" i="11"/>
  <c r="I17" i="11"/>
  <c r="I18" i="11"/>
  <c r="I19" i="11"/>
  <c r="I20" i="11"/>
  <c r="I21" i="11"/>
  <c r="I22" i="11"/>
  <c r="I23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2" i="11"/>
  <c r="AN11" i="4"/>
  <c r="E3" i="11"/>
  <c r="E4" i="11"/>
  <c r="E5" i="11"/>
  <c r="E6" i="11"/>
  <c r="E7" i="11"/>
  <c r="E8" i="11"/>
  <c r="E9" i="11"/>
  <c r="E10" i="11"/>
  <c r="E11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2" i="11"/>
  <c r="AW10" i="4"/>
  <c r="AW33" i="4"/>
  <c r="AW32" i="4"/>
  <c r="AW31" i="4"/>
  <c r="AW30" i="4"/>
  <c r="AW29" i="4"/>
  <c r="AW28" i="4"/>
  <c r="AW27" i="4"/>
  <c r="AW26" i="4"/>
  <c r="AW25" i="4"/>
  <c r="AW24" i="4"/>
  <c r="AW23" i="4"/>
  <c r="AW22" i="4"/>
  <c r="AW21" i="4"/>
  <c r="AW20" i="4"/>
  <c r="AW19" i="4"/>
  <c r="AW18" i="4"/>
  <c r="AW17" i="4"/>
  <c r="AW16" i="4"/>
  <c r="AW15" i="4"/>
  <c r="AW14" i="4"/>
  <c r="AW12" i="4"/>
  <c r="AW13" i="4"/>
  <c r="AW11" i="4"/>
  <c r="AN34" i="4"/>
  <c r="AN33" i="4"/>
  <c r="AN32" i="4"/>
  <c r="AN31" i="4"/>
  <c r="AN30" i="4"/>
  <c r="AN29" i="4"/>
  <c r="AN28" i="4"/>
  <c r="AN27" i="4"/>
  <c r="AN26" i="4"/>
  <c r="AN25" i="4"/>
  <c r="AN24" i="4"/>
  <c r="AN23" i="4"/>
  <c r="AN22" i="4"/>
  <c r="AN21" i="4"/>
  <c r="AN20" i="4"/>
  <c r="AN19" i="4"/>
  <c r="AN18" i="4"/>
  <c r="AN17" i="4"/>
  <c r="AN16" i="4"/>
  <c r="AN15" i="4"/>
  <c r="AN14" i="4"/>
  <c r="AN13" i="4"/>
  <c r="AN12" i="4"/>
  <c r="DK43" i="10"/>
  <c r="DJ43" i="10"/>
  <c r="DI43" i="10"/>
  <c r="DG43" i="10"/>
  <c r="DF43" i="10"/>
  <c r="DJ42" i="10"/>
  <c r="DI42" i="10"/>
  <c r="DG42" i="10"/>
  <c r="DF42" i="10"/>
  <c r="DK41" i="10"/>
  <c r="DK42" i="10"/>
  <c r="DJ41" i="10"/>
  <c r="DI41" i="10"/>
  <c r="DG41" i="10"/>
  <c r="DF41" i="10"/>
  <c r="DH41" i="10"/>
  <c r="DL41" i="10"/>
  <c r="DM41" i="10"/>
  <c r="DH42" i="10"/>
  <c r="DL42" i="10"/>
  <c r="DM42" i="10"/>
  <c r="DH43" i="10"/>
  <c r="DL43" i="10"/>
  <c r="DM43" i="10"/>
  <c r="DL44" i="10"/>
  <c r="DJ40" i="10"/>
  <c r="DI40" i="10"/>
  <c r="DK40" i="10"/>
  <c r="DM40" i="10"/>
  <c r="DL40" i="10"/>
  <c r="DH40" i="10"/>
  <c r="DG40" i="10"/>
  <c r="DF40" i="10"/>
  <c r="DJ28" i="10"/>
  <c r="DI28" i="10"/>
  <c r="DH28" i="10"/>
  <c r="DH24" i="10"/>
  <c r="DH9" i="10"/>
  <c r="DL9" i="10"/>
  <c r="DM9" i="10"/>
  <c r="DN9" i="10"/>
  <c r="DH10" i="10"/>
  <c r="DL10" i="10"/>
  <c r="DM10" i="10"/>
  <c r="DN10" i="10"/>
  <c r="DH11" i="10"/>
  <c r="DL11" i="10"/>
  <c r="DM11" i="10"/>
  <c r="DN11" i="10"/>
  <c r="DG35" i="10"/>
  <c r="DH35" i="10"/>
  <c r="DF35" i="10"/>
  <c r="DL35" i="10"/>
  <c r="DH12" i="10"/>
  <c r="DL12" i="10"/>
  <c r="DM12" i="10"/>
  <c r="DN12" i="10"/>
  <c r="DH13" i="10"/>
  <c r="DL13" i="10"/>
  <c r="DM13" i="10"/>
  <c r="DN13" i="10"/>
  <c r="DH14" i="10"/>
  <c r="DL14" i="10"/>
  <c r="DM14" i="10"/>
  <c r="DN14" i="10"/>
  <c r="DJ35" i="10"/>
  <c r="DK35" i="10"/>
  <c r="DI35" i="10"/>
  <c r="DM35" i="10"/>
  <c r="DH15" i="10"/>
  <c r="DL15" i="10"/>
  <c r="DM15" i="10"/>
  <c r="DN15" i="10"/>
  <c r="DH16" i="10"/>
  <c r="DL16" i="10"/>
  <c r="DM16" i="10"/>
  <c r="DN16" i="10"/>
  <c r="DH17" i="10"/>
  <c r="DL17" i="10"/>
  <c r="DM17" i="10"/>
  <c r="DN17" i="10"/>
  <c r="DG36" i="10"/>
  <c r="DH36" i="10"/>
  <c r="DF36" i="10"/>
  <c r="DL36" i="10"/>
  <c r="DH18" i="10"/>
  <c r="DL18" i="10"/>
  <c r="DM18" i="10"/>
  <c r="DN18" i="10"/>
  <c r="DH19" i="10"/>
  <c r="DL19" i="10"/>
  <c r="DM19" i="10"/>
  <c r="DN19" i="10"/>
  <c r="DH20" i="10"/>
  <c r="DL20" i="10"/>
  <c r="DM20" i="10"/>
  <c r="DN20" i="10"/>
  <c r="DJ36" i="10"/>
  <c r="DK36" i="10"/>
  <c r="DI36" i="10"/>
  <c r="DM36" i="10"/>
  <c r="DH21" i="10"/>
  <c r="DL21" i="10"/>
  <c r="DM21" i="10"/>
  <c r="DN21" i="10"/>
  <c r="DH22" i="10"/>
  <c r="DL22" i="10"/>
  <c r="DM22" i="10"/>
  <c r="DN22" i="10"/>
  <c r="DH23" i="10"/>
  <c r="DL23" i="10"/>
  <c r="DM23" i="10"/>
  <c r="DN23" i="10"/>
  <c r="DG37" i="10"/>
  <c r="DH37" i="10"/>
  <c r="DF37" i="10"/>
  <c r="DL37" i="10"/>
  <c r="DL24" i="10"/>
  <c r="DM24" i="10"/>
  <c r="DN24" i="10"/>
  <c r="DH25" i="10"/>
  <c r="DL25" i="10"/>
  <c r="DM25" i="10"/>
  <c r="DN25" i="10"/>
  <c r="DJ37" i="10"/>
  <c r="DK37" i="10"/>
  <c r="DI37" i="10"/>
  <c r="DM37" i="10"/>
  <c r="DL38" i="10"/>
  <c r="DM34" i="10"/>
  <c r="DL34" i="10"/>
  <c r="DN4" i="10"/>
  <c r="DN5" i="10"/>
  <c r="DN6" i="10"/>
  <c r="DN7" i="10"/>
  <c r="DH8" i="10"/>
  <c r="DL8" i="10"/>
  <c r="DM8" i="10"/>
  <c r="DN8" i="10"/>
  <c r="DN3" i="10"/>
  <c r="DH7" i="10"/>
  <c r="DH6" i="10"/>
  <c r="DH5" i="10"/>
  <c r="DH3" i="10"/>
  <c r="EM26" i="10"/>
  <c r="EL26" i="10"/>
  <c r="EP26" i="10"/>
  <c r="EO37" i="10"/>
  <c r="EO49" i="10"/>
  <c r="EO43" i="10"/>
  <c r="EN49" i="10"/>
  <c r="EM49" i="10"/>
  <c r="EK49" i="10"/>
  <c r="EJ49" i="10"/>
  <c r="EN48" i="10"/>
  <c r="EM48" i="10"/>
  <c r="EL48" i="10"/>
  <c r="EK48" i="10"/>
  <c r="EJ48" i="10"/>
  <c r="EN47" i="10"/>
  <c r="EM47" i="10"/>
  <c r="EK47" i="10"/>
  <c r="EJ47" i="10"/>
  <c r="EN46" i="10"/>
  <c r="EM46" i="10"/>
  <c r="EO47" i="10"/>
  <c r="EL47" i="10"/>
  <c r="EP47" i="10"/>
  <c r="EQ47" i="10"/>
  <c r="EO48" i="10"/>
  <c r="EP48" i="10"/>
  <c r="EQ48" i="10"/>
  <c r="EL49" i="10"/>
  <c r="EP49" i="10"/>
  <c r="EQ49" i="10"/>
  <c r="EO46" i="10"/>
  <c r="EQ46" i="10"/>
  <c r="EP46" i="10"/>
  <c r="EL46" i="10"/>
  <c r="EK46" i="10"/>
  <c r="EJ46" i="10"/>
  <c r="EP44" i="10"/>
  <c r="EN43" i="10"/>
  <c r="EM43" i="10"/>
  <c r="EK43" i="10"/>
  <c r="EJ43" i="10"/>
  <c r="EN42" i="10"/>
  <c r="EM42" i="10"/>
  <c r="EL42" i="10"/>
  <c r="EK42" i="10"/>
  <c r="EJ42" i="10"/>
  <c r="EO41" i="10"/>
  <c r="EO42" i="10"/>
  <c r="EN41" i="10"/>
  <c r="EM41" i="10"/>
  <c r="EK41" i="10"/>
  <c r="EJ41" i="10"/>
  <c r="EN40" i="10"/>
  <c r="EM40" i="10"/>
  <c r="EO40" i="10"/>
  <c r="EQ41" i="10"/>
  <c r="EQ42" i="10"/>
  <c r="EQ43" i="10"/>
  <c r="EQ40" i="10"/>
  <c r="EL41" i="10"/>
  <c r="EP41" i="10"/>
  <c r="EP42" i="10"/>
  <c r="EL43" i="10"/>
  <c r="EP43" i="10"/>
  <c r="EP40" i="10"/>
  <c r="EL40" i="10"/>
  <c r="EK40" i="10"/>
  <c r="EJ40" i="10"/>
  <c r="EQ37" i="10"/>
  <c r="EK36" i="10"/>
  <c r="EL36" i="10"/>
  <c r="EJ36" i="10"/>
  <c r="EP36" i="10"/>
  <c r="EQ38" i="10"/>
  <c r="EL24" i="10"/>
  <c r="EP24" i="10"/>
  <c r="EQ24" i="10"/>
  <c r="ER24" i="10"/>
  <c r="EL25" i="10"/>
  <c r="EP25" i="10"/>
  <c r="EQ25" i="10"/>
  <c r="ER25" i="10"/>
  <c r="EN37" i="10"/>
  <c r="EM37" i="10"/>
  <c r="EP38" i="10"/>
  <c r="DB50" i="10"/>
  <c r="CZ49" i="10"/>
  <c r="CY49" i="10"/>
  <c r="CW49" i="10"/>
  <c r="CV49" i="10"/>
  <c r="CZ48" i="10"/>
  <c r="CY48" i="10"/>
  <c r="CW48" i="10"/>
  <c r="CV48" i="10"/>
  <c r="CZ47" i="10"/>
  <c r="CY47" i="10"/>
  <c r="CW47" i="10"/>
  <c r="CV47" i="10"/>
  <c r="CZ46" i="10"/>
  <c r="CY46" i="10"/>
  <c r="DA47" i="10"/>
  <c r="DA48" i="10"/>
  <c r="DA49" i="10"/>
  <c r="DA46" i="10"/>
  <c r="DC47" i="10"/>
  <c r="DC48" i="10"/>
  <c r="DC49" i="10"/>
  <c r="DC46" i="10"/>
  <c r="CX47" i="10"/>
  <c r="DB47" i="10"/>
  <c r="CX48" i="10"/>
  <c r="DB48" i="10"/>
  <c r="CX49" i="10"/>
  <c r="DB49" i="10"/>
  <c r="DB46" i="10"/>
  <c r="CX46" i="10"/>
  <c r="CW46" i="10"/>
  <c r="CV46" i="10"/>
  <c r="CZ43" i="10"/>
  <c r="CY43" i="10"/>
  <c r="CW43" i="10"/>
  <c r="CV43" i="10"/>
  <c r="CZ42" i="10"/>
  <c r="CY42" i="10"/>
  <c r="CW42" i="10"/>
  <c r="CV42" i="10"/>
  <c r="CZ41" i="10"/>
  <c r="CY41" i="10"/>
  <c r="CW41" i="10"/>
  <c r="CV41" i="10"/>
  <c r="CZ40" i="10"/>
  <c r="CY40" i="10"/>
  <c r="DA40" i="10"/>
  <c r="DC40" i="10"/>
  <c r="CX41" i="10"/>
  <c r="DB41" i="10"/>
  <c r="DA41" i="10"/>
  <c r="DC41" i="10"/>
  <c r="CX42" i="10"/>
  <c r="DB42" i="10"/>
  <c r="DA42" i="10"/>
  <c r="DC42" i="10"/>
  <c r="CX43" i="10"/>
  <c r="DB43" i="10"/>
  <c r="DA43" i="10"/>
  <c r="DC43" i="10"/>
  <c r="DB44" i="10"/>
  <c r="DB40" i="10"/>
  <c r="CX40" i="10"/>
  <c r="CW40" i="10"/>
  <c r="CV40" i="10"/>
  <c r="DB38" i="10"/>
  <c r="DC35" i="10"/>
  <c r="DC36" i="10"/>
  <c r="DC37" i="10"/>
  <c r="DC34" i="10"/>
  <c r="DB35" i="10"/>
  <c r="DB36" i="10"/>
  <c r="DB37" i="10"/>
  <c r="DB34" i="10"/>
  <c r="CR50" i="10"/>
  <c r="CP49" i="10"/>
  <c r="CO49" i="10"/>
  <c r="CM49" i="10"/>
  <c r="CL49" i="10"/>
  <c r="CP48" i="10"/>
  <c r="CO48" i="10"/>
  <c r="CM48" i="10"/>
  <c r="CL48" i="10"/>
  <c r="CQ47" i="10"/>
  <c r="CQ48" i="10"/>
  <c r="CQ49" i="10"/>
  <c r="CP47" i="10"/>
  <c r="CO47" i="10"/>
  <c r="CM47" i="10"/>
  <c r="CL47" i="10"/>
  <c r="CQ46" i="10"/>
  <c r="CP46" i="10"/>
  <c r="CO46" i="10"/>
  <c r="CN47" i="10"/>
  <c r="CR47" i="10"/>
  <c r="CS47" i="10"/>
  <c r="CN48" i="10"/>
  <c r="CR48" i="10"/>
  <c r="CS48" i="10"/>
  <c r="CN49" i="10"/>
  <c r="CR49" i="10"/>
  <c r="CS49" i="10"/>
  <c r="CS46" i="10"/>
  <c r="CR46" i="10"/>
  <c r="CN46" i="10"/>
  <c r="CM46" i="10"/>
  <c r="CL46" i="10"/>
  <c r="EF50" i="10"/>
  <c r="CH50" i="10"/>
  <c r="CF49" i="10"/>
  <c r="CE49" i="10"/>
  <c r="CC49" i="10"/>
  <c r="CB49" i="10"/>
  <c r="CF48" i="10"/>
  <c r="CE48" i="10"/>
  <c r="CC48" i="10"/>
  <c r="CB48" i="10"/>
  <c r="CF47" i="10"/>
  <c r="CE47" i="10"/>
  <c r="CC47" i="10"/>
  <c r="CB47" i="10"/>
  <c r="CG47" i="10"/>
  <c r="CG48" i="10"/>
  <c r="CG49" i="10"/>
  <c r="CG46" i="10"/>
  <c r="CF46" i="10"/>
  <c r="CE46" i="10"/>
  <c r="CD47" i="10"/>
  <c r="CH47" i="10"/>
  <c r="CI47" i="10"/>
  <c r="CD48" i="10"/>
  <c r="CH48" i="10"/>
  <c r="CI48" i="10"/>
  <c r="CD49" i="10"/>
  <c r="CH49" i="10"/>
  <c r="CI49" i="10"/>
  <c r="CI46" i="10"/>
  <c r="CH46" i="10"/>
  <c r="CD46" i="10"/>
  <c r="CC46" i="10"/>
  <c r="CB46" i="10"/>
  <c r="BX50" i="10"/>
  <c r="BV49" i="10"/>
  <c r="BU49" i="10"/>
  <c r="BS49" i="10"/>
  <c r="BR49" i="10"/>
  <c r="BV48" i="10"/>
  <c r="BU48" i="10"/>
  <c r="BS48" i="10"/>
  <c r="BR48" i="10"/>
  <c r="BV47" i="10"/>
  <c r="BU47" i="10"/>
  <c r="BS47" i="10"/>
  <c r="BR47" i="10"/>
  <c r="BW47" i="10"/>
  <c r="BW48" i="10"/>
  <c r="BW49" i="10"/>
  <c r="BW46" i="10"/>
  <c r="BV46" i="10"/>
  <c r="BU46" i="10"/>
  <c r="BY47" i="10"/>
  <c r="BY48" i="10"/>
  <c r="BY49" i="10"/>
  <c r="BY46" i="10"/>
  <c r="BT47" i="10"/>
  <c r="BX47" i="10"/>
  <c r="BT48" i="10"/>
  <c r="BX48" i="10"/>
  <c r="BT49" i="10"/>
  <c r="BX49" i="10"/>
  <c r="BX46" i="10"/>
  <c r="BT46" i="10"/>
  <c r="BS46" i="10"/>
  <c r="BR46" i="10"/>
  <c r="BN50" i="10"/>
  <c r="BL49" i="10"/>
  <c r="BK49" i="10"/>
  <c r="BI49" i="10"/>
  <c r="BH49" i="10"/>
  <c r="BL48" i="10"/>
  <c r="BK48" i="10"/>
  <c r="BI48" i="10"/>
  <c r="BH48" i="10"/>
  <c r="BL47" i="10"/>
  <c r="BK47" i="10"/>
  <c r="BI47" i="10"/>
  <c r="BH47" i="10"/>
  <c r="BM47" i="10"/>
  <c r="BM48" i="10"/>
  <c r="BM49" i="10"/>
  <c r="BM46" i="10"/>
  <c r="BL46" i="10"/>
  <c r="BK46" i="10"/>
  <c r="BO47" i="10"/>
  <c r="BO48" i="10"/>
  <c r="BO49" i="10"/>
  <c r="BO46" i="10"/>
  <c r="BJ47" i="10"/>
  <c r="BN47" i="10"/>
  <c r="BJ48" i="10"/>
  <c r="BN48" i="10"/>
  <c r="BJ49" i="10"/>
  <c r="BN49" i="10"/>
  <c r="BN46" i="10"/>
  <c r="BJ46" i="10"/>
  <c r="BI46" i="10"/>
  <c r="BH46" i="10"/>
  <c r="BD52" i="10"/>
  <c r="BB51" i="10"/>
  <c r="BA51" i="10"/>
  <c r="AY51" i="10"/>
  <c r="AX51" i="10"/>
  <c r="BB50" i="10"/>
  <c r="BA50" i="10"/>
  <c r="AY50" i="10"/>
  <c r="AX50" i="10"/>
  <c r="BC49" i="10"/>
  <c r="BC50" i="10"/>
  <c r="BC51" i="10"/>
  <c r="BB49" i="10"/>
  <c r="BA49" i="10"/>
  <c r="AY49" i="10"/>
  <c r="AX49" i="10"/>
  <c r="BC48" i="10"/>
  <c r="BB48" i="10"/>
  <c r="BA48" i="10"/>
  <c r="BE49" i="10"/>
  <c r="BE50" i="10"/>
  <c r="BE51" i="10"/>
  <c r="BE48" i="10"/>
  <c r="AZ49" i="10"/>
  <c r="BD49" i="10"/>
  <c r="AZ50" i="10"/>
  <c r="BD50" i="10"/>
  <c r="AZ51" i="10"/>
  <c r="BD51" i="10"/>
  <c r="BD48" i="10"/>
  <c r="AZ48" i="10"/>
  <c r="AY48" i="10"/>
  <c r="AX48" i="10"/>
  <c r="BF46" i="10"/>
  <c r="AT52" i="10"/>
  <c r="AR51" i="10"/>
  <c r="AQ51" i="10"/>
  <c r="AO51" i="10"/>
  <c r="AN51" i="10"/>
  <c r="AR50" i="10"/>
  <c r="AQ50" i="10"/>
  <c r="AO50" i="10"/>
  <c r="AN50" i="10"/>
  <c r="AR49" i="10"/>
  <c r="AQ49" i="10"/>
  <c r="AO49" i="10"/>
  <c r="AN49" i="10"/>
  <c r="AS49" i="10"/>
  <c r="AS50" i="10"/>
  <c r="AS51" i="10"/>
  <c r="AS48" i="10"/>
  <c r="AR48" i="10"/>
  <c r="AQ48" i="10"/>
  <c r="AU49" i="10"/>
  <c r="AU50" i="10"/>
  <c r="AU51" i="10"/>
  <c r="AU48" i="10"/>
  <c r="AP49" i="10"/>
  <c r="AT49" i="10"/>
  <c r="AP50" i="10"/>
  <c r="AT50" i="10"/>
  <c r="AP51" i="10"/>
  <c r="AT51" i="10"/>
  <c r="AT48" i="10"/>
  <c r="AP48" i="10"/>
  <c r="AO48" i="10"/>
  <c r="AN48" i="10"/>
  <c r="CR44" i="10"/>
  <c r="CP43" i="10"/>
  <c r="CO43" i="10"/>
  <c r="CM43" i="10"/>
  <c r="CL43" i="10"/>
  <c r="CP42" i="10"/>
  <c r="CO42" i="10"/>
  <c r="CM42" i="10"/>
  <c r="CL42" i="10"/>
  <c r="CP41" i="10"/>
  <c r="CO41" i="10"/>
  <c r="CM41" i="10"/>
  <c r="CL41" i="10"/>
  <c r="CN41" i="10"/>
  <c r="CR41" i="10"/>
  <c r="CQ41" i="10"/>
  <c r="CS41" i="10"/>
  <c r="CN42" i="10"/>
  <c r="CR42" i="10"/>
  <c r="CQ42" i="10"/>
  <c r="CS42" i="10"/>
  <c r="CN43" i="10"/>
  <c r="CR43" i="10"/>
  <c r="CQ43" i="10"/>
  <c r="CS43" i="10"/>
  <c r="CS40" i="10"/>
  <c r="CR40" i="10"/>
  <c r="CQ40" i="10"/>
  <c r="CP40" i="10"/>
  <c r="CO40" i="10"/>
  <c r="CN40" i="10"/>
  <c r="CM40" i="10"/>
  <c r="CL40" i="10"/>
  <c r="CR38" i="10"/>
  <c r="CS35" i="10"/>
  <c r="CS36" i="10"/>
  <c r="CS37" i="10"/>
  <c r="CS34" i="10"/>
  <c r="CR35" i="10"/>
  <c r="CR36" i="10"/>
  <c r="CR37" i="10"/>
  <c r="CR34" i="10"/>
  <c r="BX44" i="10"/>
  <c r="BX38" i="10"/>
  <c r="BY35" i="10"/>
  <c r="BY36" i="10"/>
  <c r="BY37" i="10"/>
  <c r="BY40" i="10"/>
  <c r="BY41" i="10"/>
  <c r="BY42" i="10"/>
  <c r="BY43" i="10"/>
  <c r="BY34" i="10"/>
  <c r="BX35" i="10"/>
  <c r="BX36" i="10"/>
  <c r="BX37" i="10"/>
  <c r="BX40" i="10"/>
  <c r="BX41" i="10"/>
  <c r="BX42" i="10"/>
  <c r="BX43" i="10"/>
  <c r="BX34" i="10"/>
  <c r="BN44" i="10"/>
  <c r="BN38" i="10"/>
  <c r="BO35" i="10"/>
  <c r="BO36" i="10"/>
  <c r="BO37" i="10"/>
  <c r="BO40" i="10"/>
  <c r="BO41" i="10"/>
  <c r="BO42" i="10"/>
  <c r="BO43" i="10"/>
  <c r="BO34" i="10"/>
  <c r="BN35" i="10"/>
  <c r="BN36" i="10"/>
  <c r="BN37" i="10"/>
  <c r="BN40" i="10"/>
  <c r="BN41" i="10"/>
  <c r="BN42" i="10"/>
  <c r="BN43" i="10"/>
  <c r="BN34" i="10"/>
  <c r="AT38" i="10"/>
  <c r="AT46" i="10"/>
  <c r="AT42" i="10"/>
  <c r="AT43" i="10"/>
  <c r="AT44" i="10"/>
  <c r="AT45" i="10"/>
  <c r="AU35" i="10"/>
  <c r="AU36" i="10"/>
  <c r="AU37" i="10"/>
  <c r="AU42" i="10"/>
  <c r="AU43" i="10"/>
  <c r="AU44" i="10"/>
  <c r="AU45" i="10"/>
  <c r="AU34" i="10"/>
  <c r="AT35" i="10"/>
  <c r="AT36" i="10"/>
  <c r="AT37" i="10"/>
  <c r="AT34" i="10"/>
  <c r="AX42" i="10"/>
  <c r="AN42" i="10"/>
  <c r="CB40" i="10"/>
  <c r="CH40" i="10"/>
  <c r="CB34" i="10"/>
  <c r="CH34" i="10"/>
  <c r="CH44" i="10"/>
  <c r="CH38" i="10"/>
  <c r="EE49" i="10"/>
  <c r="ED49" i="10"/>
  <c r="EC49" i="10"/>
  <c r="EA49" i="10"/>
  <c r="DZ49" i="10"/>
  <c r="ED48" i="10"/>
  <c r="EC48" i="10"/>
  <c r="EA48" i="10"/>
  <c r="DZ48" i="10"/>
  <c r="ED47" i="10"/>
  <c r="EC47" i="10"/>
  <c r="EA47" i="10"/>
  <c r="DZ47" i="10"/>
  <c r="EE47" i="10"/>
  <c r="EE48" i="10"/>
  <c r="EE46" i="10"/>
  <c r="ED46" i="10"/>
  <c r="EC46" i="10"/>
  <c r="EG46" i="10"/>
  <c r="EB47" i="10"/>
  <c r="EF47" i="10"/>
  <c r="EG47" i="10"/>
  <c r="EB48" i="10"/>
  <c r="EF48" i="10"/>
  <c r="EG48" i="10"/>
  <c r="EB49" i="10"/>
  <c r="EF49" i="10"/>
  <c r="EG49" i="10"/>
  <c r="EG50" i="10"/>
  <c r="EF46" i="10"/>
  <c r="EB46" i="10"/>
  <c r="EA46" i="10"/>
  <c r="DZ46" i="10"/>
  <c r="ED43" i="10"/>
  <c r="EE43" i="10"/>
  <c r="EC43" i="10"/>
  <c r="EA43" i="10"/>
  <c r="DZ43" i="10"/>
  <c r="ED42" i="10"/>
  <c r="EC42" i="10"/>
  <c r="EA42" i="10"/>
  <c r="DZ42" i="10"/>
  <c r="ED41" i="10"/>
  <c r="EC41" i="10"/>
  <c r="EA41" i="10"/>
  <c r="DZ41" i="10"/>
  <c r="EE41" i="10"/>
  <c r="EE42" i="10"/>
  <c r="ED40" i="10"/>
  <c r="EE40" i="10"/>
  <c r="EC40" i="10"/>
  <c r="EG40" i="10"/>
  <c r="EB41" i="10"/>
  <c r="EF41" i="10"/>
  <c r="EG41" i="10"/>
  <c r="EB42" i="10"/>
  <c r="EF42" i="10"/>
  <c r="EG42" i="10"/>
  <c r="EB43" i="10"/>
  <c r="EF43" i="10"/>
  <c r="EG43" i="10"/>
  <c r="EA40" i="10"/>
  <c r="EB40" i="10"/>
  <c r="DZ40" i="10"/>
  <c r="EF40" i="10"/>
  <c r="EG44" i="10"/>
  <c r="EF44" i="10"/>
  <c r="EH4" i="10"/>
  <c r="EH5" i="10"/>
  <c r="EA34" i="10"/>
  <c r="EB34" i="10"/>
  <c r="DZ34" i="10"/>
  <c r="EF34" i="10"/>
  <c r="EH6" i="10"/>
  <c r="EH7" i="10"/>
  <c r="EH8" i="10"/>
  <c r="ED34" i="10"/>
  <c r="EE34" i="10"/>
  <c r="EC34" i="10"/>
  <c r="EG34" i="10"/>
  <c r="EH9" i="10"/>
  <c r="EH10" i="10"/>
  <c r="EH11" i="10"/>
  <c r="EA35" i="10"/>
  <c r="EB35" i="10"/>
  <c r="DZ35" i="10"/>
  <c r="EF35" i="10"/>
  <c r="EH12" i="10"/>
  <c r="EH13" i="10"/>
  <c r="EH14" i="10"/>
  <c r="ED35" i="10"/>
  <c r="EE35" i="10"/>
  <c r="EC35" i="10"/>
  <c r="EG35" i="10"/>
  <c r="EH15" i="10"/>
  <c r="EH16" i="10"/>
  <c r="EH17" i="10"/>
  <c r="EA36" i="10"/>
  <c r="EB36" i="10"/>
  <c r="DZ36" i="10"/>
  <c r="EF36" i="10"/>
  <c r="EH18" i="10"/>
  <c r="EH19" i="10"/>
  <c r="EH20" i="10"/>
  <c r="ED36" i="10"/>
  <c r="EE36" i="10"/>
  <c r="EC36" i="10"/>
  <c r="EG36" i="10"/>
  <c r="EH21" i="10"/>
  <c r="EH22" i="10"/>
  <c r="EH23" i="10"/>
  <c r="EA37" i="10"/>
  <c r="EB37" i="10"/>
  <c r="DZ37" i="10"/>
  <c r="EF37" i="10"/>
  <c r="EH24" i="10"/>
  <c r="EH25" i="10"/>
  <c r="ED37" i="10"/>
  <c r="EE37" i="10"/>
  <c r="EC37" i="10"/>
  <c r="EG37" i="10"/>
  <c r="EG38" i="10"/>
  <c r="EF38" i="10"/>
  <c r="EL3" i="10"/>
  <c r="EQ3" i="10"/>
  <c r="ER3" i="10"/>
  <c r="EL4" i="10"/>
  <c r="EP4" i="10"/>
  <c r="EQ4" i="10"/>
  <c r="ER4" i="10"/>
  <c r="EL5" i="10"/>
  <c r="EP5" i="10"/>
  <c r="EQ5" i="10"/>
  <c r="ER5" i="10"/>
  <c r="EK34" i="10"/>
  <c r="EL34" i="10"/>
  <c r="EJ34" i="10"/>
  <c r="EP34" i="10"/>
  <c r="EL6" i="10"/>
  <c r="EP6" i="10"/>
  <c r="EQ6" i="10"/>
  <c r="ER6" i="10"/>
  <c r="EL7" i="10"/>
  <c r="EP7" i="10"/>
  <c r="EQ7" i="10"/>
  <c r="ER7" i="10"/>
  <c r="EL8" i="10"/>
  <c r="EP8" i="10"/>
  <c r="EQ8" i="10"/>
  <c r="ER8" i="10"/>
  <c r="EN34" i="10"/>
  <c r="EO34" i="10"/>
  <c r="EM34" i="10"/>
  <c r="EQ34" i="10"/>
  <c r="EL9" i="10"/>
  <c r="EP9" i="10"/>
  <c r="EQ9" i="10"/>
  <c r="ER9" i="10"/>
  <c r="EL10" i="10"/>
  <c r="EP10" i="10"/>
  <c r="EQ10" i="10"/>
  <c r="ER10" i="10"/>
  <c r="EL11" i="10"/>
  <c r="EP11" i="10"/>
  <c r="EQ11" i="10"/>
  <c r="ER11" i="10"/>
  <c r="EK35" i="10"/>
  <c r="EL35" i="10"/>
  <c r="EJ35" i="10"/>
  <c r="EP35" i="10"/>
  <c r="EL12" i="10"/>
  <c r="EP12" i="10"/>
  <c r="EQ12" i="10"/>
  <c r="ER12" i="10"/>
  <c r="EL13" i="10"/>
  <c r="EP13" i="10"/>
  <c r="EQ13" i="10"/>
  <c r="ER13" i="10"/>
  <c r="EL14" i="10"/>
  <c r="EP14" i="10"/>
  <c r="EQ14" i="10"/>
  <c r="ER14" i="10"/>
  <c r="EN35" i="10"/>
  <c r="EO35" i="10"/>
  <c r="EM35" i="10"/>
  <c r="EQ35" i="10"/>
  <c r="EL15" i="10"/>
  <c r="EP15" i="10"/>
  <c r="EQ15" i="10"/>
  <c r="ER15" i="10"/>
  <c r="EL16" i="10"/>
  <c r="EP16" i="10"/>
  <c r="EQ16" i="10"/>
  <c r="ER16" i="10"/>
  <c r="EL18" i="10"/>
  <c r="EP18" i="10"/>
  <c r="EQ18" i="10"/>
  <c r="ER18" i="10"/>
  <c r="EL19" i="10"/>
  <c r="EP19" i="10"/>
  <c r="EQ19" i="10"/>
  <c r="ER19" i="10"/>
  <c r="EL20" i="10"/>
  <c r="EP20" i="10"/>
  <c r="EQ20" i="10"/>
  <c r="ER20" i="10"/>
  <c r="EN36" i="10"/>
  <c r="EO36" i="10"/>
  <c r="EM36" i="10"/>
  <c r="EQ36" i="10"/>
  <c r="EL21" i="10"/>
  <c r="EP21" i="10"/>
  <c r="EQ21" i="10"/>
  <c r="ER21" i="10"/>
  <c r="EL22" i="10"/>
  <c r="EP22" i="10"/>
  <c r="EQ22" i="10"/>
  <c r="ER22" i="10"/>
  <c r="EL23" i="10"/>
  <c r="EP23" i="10"/>
  <c r="EQ23" i="10"/>
  <c r="ER23" i="10"/>
  <c r="EK37" i="10"/>
  <c r="EL37" i="10"/>
  <c r="EJ37" i="10"/>
  <c r="EP37" i="10"/>
  <c r="DM3" i="10"/>
  <c r="DH4" i="10"/>
  <c r="DL4" i="10"/>
  <c r="DM4" i="10"/>
  <c r="DL5" i="10"/>
  <c r="DM5" i="10"/>
  <c r="DF34" i="10"/>
  <c r="DI4" i="10"/>
  <c r="DI5" i="10"/>
  <c r="DI6" i="10"/>
  <c r="DI7" i="10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3" i="10"/>
  <c r="FA51" i="10"/>
  <c r="EZ51" i="10"/>
  <c r="EY50" i="10"/>
  <c r="EX50" i="10"/>
  <c r="EW50" i="10"/>
  <c r="EU50" i="10"/>
  <c r="ET50" i="10"/>
  <c r="EX49" i="10"/>
  <c r="EW49" i="10"/>
  <c r="EU49" i="10"/>
  <c r="ET49" i="10"/>
  <c r="EY48" i="10"/>
  <c r="EY49" i="10"/>
  <c r="EX48" i="10"/>
  <c r="EW48" i="10"/>
  <c r="EU48" i="10"/>
  <c r="ET48" i="10"/>
  <c r="EV48" i="10"/>
  <c r="EZ48" i="10"/>
  <c r="FA48" i="10"/>
  <c r="EV49" i="10"/>
  <c r="EZ49" i="10"/>
  <c r="FA49" i="10"/>
  <c r="EV50" i="10"/>
  <c r="EZ50" i="10"/>
  <c r="FA50" i="10"/>
  <c r="FA47" i="10"/>
  <c r="EZ47" i="10"/>
  <c r="EY47" i="10"/>
  <c r="EX47" i="10"/>
  <c r="EW47" i="10"/>
  <c r="EV47" i="10"/>
  <c r="EU47" i="10"/>
  <c r="ET47" i="10"/>
  <c r="FA44" i="10"/>
  <c r="EZ44" i="10"/>
  <c r="EY43" i="10"/>
  <c r="EX43" i="10"/>
  <c r="EW43" i="10"/>
  <c r="EU43" i="10"/>
  <c r="ET43" i="10"/>
  <c r="EY42" i="10"/>
  <c r="EX42" i="10"/>
  <c r="EW42" i="10"/>
  <c r="EU42" i="10"/>
  <c r="ET42" i="10"/>
  <c r="EY41" i="10"/>
  <c r="EX41" i="10"/>
  <c r="EW41" i="10"/>
  <c r="EU41" i="10"/>
  <c r="ET41" i="10"/>
  <c r="FA41" i="10"/>
  <c r="FA42" i="10"/>
  <c r="FA43" i="10"/>
  <c r="EV41" i="10"/>
  <c r="EZ41" i="10"/>
  <c r="EV42" i="10"/>
  <c r="EZ42" i="10"/>
  <c r="EV43" i="10"/>
  <c r="EZ43" i="10"/>
  <c r="FA40" i="10"/>
  <c r="EZ40" i="10"/>
  <c r="EY40" i="10"/>
  <c r="EX40" i="10"/>
  <c r="EW40" i="10"/>
  <c r="EV40" i="10"/>
  <c r="EU40" i="10"/>
  <c r="ET40" i="10"/>
  <c r="FA38" i="10"/>
  <c r="EZ38" i="10"/>
  <c r="FA35" i="10"/>
  <c r="FA36" i="10"/>
  <c r="FA37" i="10"/>
  <c r="FA34" i="10"/>
  <c r="EZ35" i="10"/>
  <c r="EZ36" i="10"/>
  <c r="EZ37" i="10"/>
  <c r="EZ34" i="10"/>
  <c r="O28" i="10"/>
  <c r="DT37" i="10"/>
  <c r="DU37" i="10"/>
  <c r="DS37" i="10"/>
  <c r="DW37" i="10"/>
  <c r="DV38" i="10"/>
  <c r="DW38" i="10"/>
  <c r="DW45" i="10"/>
  <c r="DW52" i="10"/>
  <c r="DU51" i="10"/>
  <c r="DT51" i="10"/>
  <c r="DS51" i="10"/>
  <c r="DQ51" i="10"/>
  <c r="DP51" i="10"/>
  <c r="DT50" i="10"/>
  <c r="DS50" i="10"/>
  <c r="DQ50" i="10"/>
  <c r="DP50" i="10"/>
  <c r="DT49" i="10"/>
  <c r="DS49" i="10"/>
  <c r="DQ49" i="10"/>
  <c r="DP49" i="10"/>
  <c r="DU49" i="10"/>
  <c r="DU50" i="10"/>
  <c r="DU48" i="10"/>
  <c r="DT48" i="10"/>
  <c r="DS48" i="10"/>
  <c r="DW48" i="10"/>
  <c r="DR49" i="10"/>
  <c r="DV49" i="10"/>
  <c r="DW49" i="10"/>
  <c r="DR50" i="10"/>
  <c r="DV50" i="10"/>
  <c r="DW50" i="10"/>
  <c r="DR51" i="10"/>
  <c r="DV51" i="10"/>
  <c r="DW51" i="10"/>
  <c r="DV52" i="10"/>
  <c r="DV48" i="10"/>
  <c r="DR48" i="10"/>
  <c r="DQ48" i="10"/>
  <c r="DP48" i="10"/>
  <c r="DU44" i="10"/>
  <c r="DT44" i="10"/>
  <c r="DS44" i="10"/>
  <c r="DQ44" i="10"/>
  <c r="DP44" i="10"/>
  <c r="DU43" i="10"/>
  <c r="DT43" i="10"/>
  <c r="DS43" i="10"/>
  <c r="DQ43" i="10"/>
  <c r="DP43" i="10"/>
  <c r="DU41" i="10"/>
  <c r="DU42" i="10"/>
  <c r="DT42" i="10"/>
  <c r="DS42" i="10"/>
  <c r="DQ42" i="10"/>
  <c r="DP42" i="10"/>
  <c r="DR42" i="10"/>
  <c r="DV42" i="10"/>
  <c r="DW42" i="10"/>
  <c r="DW41" i="10"/>
  <c r="DR43" i="10"/>
  <c r="DV43" i="10"/>
  <c r="DW43" i="10"/>
  <c r="DR44" i="10"/>
  <c r="DV44" i="10"/>
  <c r="DW44" i="10"/>
  <c r="DV45" i="10"/>
  <c r="DT41" i="10"/>
  <c r="DS41" i="10"/>
  <c r="DV41" i="10"/>
  <c r="DR41" i="10"/>
  <c r="DQ41" i="10"/>
  <c r="DP41" i="10"/>
  <c r="DW35" i="10"/>
  <c r="DW36" i="10"/>
  <c r="DW34" i="10"/>
  <c r="DV35" i="10"/>
  <c r="DV36" i="10"/>
  <c r="DV37" i="10"/>
  <c r="DV34" i="10"/>
  <c r="Q29" i="10"/>
  <c r="Q28" i="10"/>
  <c r="Q27" i="10"/>
  <c r="P23" i="10"/>
  <c r="P19" i="10"/>
  <c r="P18" i="10"/>
  <c r="P15" i="10"/>
  <c r="P12" i="10"/>
  <c r="P11" i="10"/>
  <c r="P10" i="10"/>
  <c r="P8" i="10"/>
  <c r="P9" i="10"/>
  <c r="P7" i="10"/>
  <c r="P6" i="10"/>
  <c r="P3" i="10"/>
  <c r="I31" i="10"/>
  <c r="DT27" i="10"/>
  <c r="DS28" i="10"/>
  <c r="DS29" i="10"/>
  <c r="DS27" i="10"/>
  <c r="DR23" i="10"/>
  <c r="DR19" i="10"/>
  <c r="DR18" i="10"/>
  <c r="DR17" i="10"/>
  <c r="DR15" i="10"/>
  <c r="DR11" i="10"/>
  <c r="DR7" i="10"/>
  <c r="DR6" i="10"/>
  <c r="DR3" i="10"/>
  <c r="EU29" i="10"/>
  <c r="ET29" i="10"/>
  <c r="EW28" i="10"/>
  <c r="EW27" i="10"/>
  <c r="EV17" i="10"/>
  <c r="DZ26" i="10"/>
  <c r="EV4" i="10"/>
  <c r="EZ4" i="10"/>
  <c r="P4" i="10"/>
  <c r="T4" i="10"/>
  <c r="FA4" i="10"/>
  <c r="EV5" i="10"/>
  <c r="EZ5" i="10"/>
  <c r="P5" i="10"/>
  <c r="T5" i="10"/>
  <c r="FA5" i="10"/>
  <c r="EV6" i="10"/>
  <c r="EZ6" i="10"/>
  <c r="T6" i="10"/>
  <c r="FA6" i="10"/>
  <c r="EV7" i="10"/>
  <c r="EZ7" i="10"/>
  <c r="T7" i="10"/>
  <c r="FA7" i="10"/>
  <c r="EV8" i="10"/>
  <c r="EZ8" i="10"/>
  <c r="T8" i="10"/>
  <c r="FA8" i="10"/>
  <c r="EV9" i="10"/>
  <c r="EZ9" i="10"/>
  <c r="T9" i="10"/>
  <c r="FA9" i="10"/>
  <c r="EV10" i="10"/>
  <c r="EZ10" i="10"/>
  <c r="T10" i="10"/>
  <c r="FA10" i="10"/>
  <c r="EV11" i="10"/>
  <c r="EZ11" i="10"/>
  <c r="T11" i="10"/>
  <c r="FA11" i="10"/>
  <c r="EV12" i="10"/>
  <c r="EZ12" i="10"/>
  <c r="T12" i="10"/>
  <c r="FA12" i="10"/>
  <c r="EV13" i="10"/>
  <c r="EZ13" i="10"/>
  <c r="P13" i="10"/>
  <c r="T13" i="10"/>
  <c r="FA13" i="10"/>
  <c r="EV14" i="10"/>
  <c r="EZ14" i="10"/>
  <c r="P14" i="10"/>
  <c r="T14" i="10"/>
  <c r="FA14" i="10"/>
  <c r="EV15" i="10"/>
  <c r="EZ15" i="10"/>
  <c r="T15" i="10"/>
  <c r="FA15" i="10"/>
  <c r="EV16" i="10"/>
  <c r="EZ16" i="10"/>
  <c r="P16" i="10"/>
  <c r="T16" i="10"/>
  <c r="FA16" i="10"/>
  <c r="EZ17" i="10"/>
  <c r="P17" i="10"/>
  <c r="T17" i="10"/>
  <c r="FA17" i="10"/>
  <c r="EV18" i="10"/>
  <c r="EZ18" i="10"/>
  <c r="T18" i="10"/>
  <c r="FA18" i="10"/>
  <c r="EV19" i="10"/>
  <c r="EZ19" i="10"/>
  <c r="T19" i="10"/>
  <c r="FA19" i="10"/>
  <c r="EV20" i="10"/>
  <c r="EZ20" i="10"/>
  <c r="P20" i="10"/>
  <c r="T20" i="10"/>
  <c r="FA20" i="10"/>
  <c r="EV21" i="10"/>
  <c r="EZ21" i="10"/>
  <c r="P21" i="10"/>
  <c r="T21" i="10"/>
  <c r="FA21" i="10"/>
  <c r="EV22" i="10"/>
  <c r="EZ22" i="10"/>
  <c r="P22" i="10"/>
  <c r="T22" i="10"/>
  <c r="FA22" i="10"/>
  <c r="EV23" i="10"/>
  <c r="EZ23" i="10"/>
  <c r="T23" i="10"/>
  <c r="FA23" i="10"/>
  <c r="EV24" i="10"/>
  <c r="EZ24" i="10"/>
  <c r="P24" i="10"/>
  <c r="T24" i="10"/>
  <c r="FA24" i="10"/>
  <c r="EV25" i="10"/>
  <c r="EZ25" i="10"/>
  <c r="P25" i="10"/>
  <c r="T25" i="10"/>
  <c r="FA25" i="10"/>
  <c r="EV3" i="10"/>
  <c r="T3" i="10"/>
  <c r="DL6" i="10"/>
  <c r="DM6" i="10"/>
  <c r="DL7" i="10"/>
  <c r="DM7" i="10"/>
  <c r="DX3" i="10"/>
  <c r="DR4" i="10"/>
  <c r="DV4" i="10"/>
  <c r="DW4" i="10"/>
  <c r="DR5" i="10"/>
  <c r="DV5" i="10"/>
  <c r="DW5" i="10"/>
  <c r="DV6" i="10"/>
  <c r="DW6" i="10"/>
  <c r="DV7" i="10"/>
  <c r="DW7" i="10"/>
  <c r="DR8" i="10"/>
  <c r="DV8" i="10"/>
  <c r="DW8" i="10"/>
  <c r="DR9" i="10"/>
  <c r="DV9" i="10"/>
  <c r="DW9" i="10"/>
  <c r="DR10" i="10"/>
  <c r="DV10" i="10"/>
  <c r="DW10" i="10"/>
  <c r="DV11" i="10"/>
  <c r="DW11" i="10"/>
  <c r="DR12" i="10"/>
  <c r="DV12" i="10"/>
  <c r="DW12" i="10"/>
  <c r="DR13" i="10"/>
  <c r="DV13" i="10"/>
  <c r="DW13" i="10"/>
  <c r="DR14" i="10"/>
  <c r="DV14" i="10"/>
  <c r="DW14" i="10"/>
  <c r="DV15" i="10"/>
  <c r="DW15" i="10"/>
  <c r="DR16" i="10"/>
  <c r="DV16" i="10"/>
  <c r="DW16" i="10"/>
  <c r="DV17" i="10"/>
  <c r="DW17" i="10"/>
  <c r="DV18" i="10"/>
  <c r="DW18" i="10"/>
  <c r="DV19" i="10"/>
  <c r="DW19" i="10"/>
  <c r="DR20" i="10"/>
  <c r="DV20" i="10"/>
  <c r="DW20" i="10"/>
  <c r="DR21" i="10"/>
  <c r="DV21" i="10"/>
  <c r="DW21" i="10"/>
  <c r="DR22" i="10"/>
  <c r="DV22" i="10"/>
  <c r="DW22" i="10"/>
  <c r="DV23" i="10"/>
  <c r="DW23" i="10"/>
  <c r="DR24" i="10"/>
  <c r="DV24" i="10"/>
  <c r="DW24" i="10"/>
  <c r="DR25" i="10"/>
  <c r="DV25" i="10"/>
  <c r="DW25" i="10"/>
  <c r="Q4" i="10"/>
  <c r="Q5" i="10"/>
  <c r="Q6" i="10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3" i="10"/>
  <c r="P27" i="10"/>
  <c r="ED28" i="10"/>
  <c r="ED27" i="10"/>
  <c r="EC28" i="10"/>
  <c r="EC27" i="10"/>
  <c r="EB6" i="10"/>
  <c r="EB3" i="10"/>
  <c r="CF43" i="10"/>
  <c r="CE43" i="10"/>
  <c r="CC43" i="10"/>
  <c r="CB43" i="10"/>
  <c r="CF42" i="10"/>
  <c r="CE42" i="10"/>
  <c r="CC42" i="10"/>
  <c r="CB42" i="10"/>
  <c r="CF41" i="10"/>
  <c r="CE41" i="10"/>
  <c r="CC41" i="10"/>
  <c r="CB41" i="10"/>
  <c r="CD41" i="10"/>
  <c r="CH41" i="10"/>
  <c r="CG41" i="10"/>
  <c r="CI41" i="10"/>
  <c r="CD42" i="10"/>
  <c r="CH42" i="10"/>
  <c r="CG42" i="10"/>
  <c r="CI42" i="10"/>
  <c r="CD43" i="10"/>
  <c r="CH43" i="10"/>
  <c r="CG43" i="10"/>
  <c r="CI43" i="10"/>
  <c r="CJ43" i="10"/>
  <c r="CG40" i="10"/>
  <c r="CF40" i="10"/>
  <c r="CE40" i="10"/>
  <c r="CI40" i="10"/>
  <c r="CJ37" i="10"/>
  <c r="CI35" i="10"/>
  <c r="CI36" i="10"/>
  <c r="CI37" i="10"/>
  <c r="CI34" i="10"/>
  <c r="CH35" i="10"/>
  <c r="CH36" i="10"/>
  <c r="CH37" i="10"/>
  <c r="CD40" i="10"/>
  <c r="CC40" i="10"/>
  <c r="BH40" i="10"/>
  <c r="BL43" i="10"/>
  <c r="BK43" i="10"/>
  <c r="BI43" i="10"/>
  <c r="BH43" i="10"/>
  <c r="BL42" i="10"/>
  <c r="BK42" i="10"/>
  <c r="BI42" i="10"/>
  <c r="BH42" i="10"/>
  <c r="BL41" i="10"/>
  <c r="BK41" i="10"/>
  <c r="BI41" i="10"/>
  <c r="BH41" i="10"/>
  <c r="BM41" i="10"/>
  <c r="BM42" i="10"/>
  <c r="BM43" i="10"/>
  <c r="BM40" i="10"/>
  <c r="BL40" i="10"/>
  <c r="BK40" i="10"/>
  <c r="BJ41" i="10"/>
  <c r="BJ42" i="10"/>
  <c r="BJ43" i="10"/>
  <c r="BJ40" i="10"/>
  <c r="BI40" i="10"/>
  <c r="BV43" i="10"/>
  <c r="BU43" i="10"/>
  <c r="BS43" i="10"/>
  <c r="BR43" i="10"/>
  <c r="BV42" i="10"/>
  <c r="BU42" i="10"/>
  <c r="BS42" i="10"/>
  <c r="BR42" i="10"/>
  <c r="BV41" i="10"/>
  <c r="BU41" i="10"/>
  <c r="BS41" i="10"/>
  <c r="BR41" i="10"/>
  <c r="BW41" i="10"/>
  <c r="BW42" i="10"/>
  <c r="BW43" i="10"/>
  <c r="BW40" i="10"/>
  <c r="BV40" i="10"/>
  <c r="BU40" i="10"/>
  <c r="BT41" i="10"/>
  <c r="BT42" i="10"/>
  <c r="BT43" i="10"/>
  <c r="BT40" i="10"/>
  <c r="BS40" i="10"/>
  <c r="BR40" i="10"/>
  <c r="BE46" i="10"/>
  <c r="BE43" i="10"/>
  <c r="BE44" i="10"/>
  <c r="BE45" i="10"/>
  <c r="BE42" i="10"/>
  <c r="BD46" i="10"/>
  <c r="BD43" i="10"/>
  <c r="BD44" i="10"/>
  <c r="BD45" i="10"/>
  <c r="BD42" i="10"/>
  <c r="BD38" i="10"/>
  <c r="BD35" i="10"/>
  <c r="BD36" i="10"/>
  <c r="BD37" i="10"/>
  <c r="BD34" i="10"/>
  <c r="BC38" i="10"/>
  <c r="BC35" i="10"/>
  <c r="BC36" i="10"/>
  <c r="BC37" i="10"/>
  <c r="BC34" i="10"/>
  <c r="AT71" i="10"/>
  <c r="AU69" i="10"/>
  <c r="AT68" i="10"/>
  <c r="AT69" i="10"/>
  <c r="AU68" i="10"/>
  <c r="AU61" i="10"/>
  <c r="AU60" i="10"/>
  <c r="AU59" i="10"/>
  <c r="AT58" i="10"/>
  <c r="AU58" i="10"/>
  <c r="AS58" i="10"/>
  <c r="AZ42" i="10"/>
  <c r="AY42" i="10"/>
  <c r="FI28" i="10"/>
  <c r="FI27" i="10"/>
  <c r="FF24" i="10"/>
  <c r="FG3" i="10"/>
  <c r="FF3" i="10"/>
  <c r="FM37" i="10"/>
  <c r="FP36" i="10"/>
  <c r="FF12" i="10"/>
  <c r="FJ12" i="10"/>
  <c r="FQ35" i="10"/>
  <c r="FR35" i="10"/>
  <c r="FJ3" i="10"/>
  <c r="FN3" i="10"/>
  <c r="FR3" i="10"/>
  <c r="FN34" i="10"/>
  <c r="FR12" i="10"/>
  <c r="FO12" i="10"/>
  <c r="FN12" i="10"/>
  <c r="FG12" i="10"/>
  <c r="FP35" i="10"/>
  <c r="FM34" i="10"/>
  <c r="FF4" i="10"/>
  <c r="FJ4" i="10"/>
  <c r="FR4" i="10"/>
  <c r="FO4" i="10"/>
  <c r="FN4" i="10"/>
  <c r="FG4" i="10"/>
  <c r="FJ24" i="10"/>
  <c r="FQ37" i="10"/>
  <c r="FR37" i="10"/>
  <c r="FP37" i="10"/>
  <c r="FN37" i="10"/>
  <c r="FO37" i="10"/>
  <c r="FF6" i="10"/>
  <c r="FJ6" i="10"/>
  <c r="FP34" i="10"/>
  <c r="FO34" i="10"/>
  <c r="FN27" i="10"/>
  <c r="FN29" i="10"/>
  <c r="FN28" i="10"/>
  <c r="FF11" i="10"/>
  <c r="FJ11" i="10"/>
  <c r="FN35" i="10"/>
  <c r="FM35" i="10"/>
  <c r="FQ34" i="10"/>
  <c r="FF5" i="10"/>
  <c r="FJ5" i="10"/>
  <c r="FF7" i="10"/>
  <c r="FJ7" i="10"/>
  <c r="FF8" i="10"/>
  <c r="FJ8" i="10"/>
  <c r="FF25" i="10"/>
  <c r="FJ25" i="10"/>
  <c r="FN25" i="10"/>
  <c r="FR25" i="10"/>
  <c r="FO25" i="10"/>
  <c r="FN24" i="10"/>
  <c r="FR24" i="10"/>
  <c r="FO24" i="10"/>
  <c r="FN22" i="10"/>
  <c r="FR22" i="10"/>
  <c r="FO22" i="10"/>
  <c r="FN21" i="10"/>
  <c r="FR21" i="10"/>
  <c r="FO21" i="10"/>
  <c r="FN20" i="10"/>
  <c r="FR20" i="10"/>
  <c r="FO20" i="10"/>
  <c r="FN11" i="10"/>
  <c r="FR11" i="10"/>
  <c r="FO11" i="10"/>
  <c r="FN10" i="10"/>
  <c r="FR10" i="10"/>
  <c r="FO10" i="10"/>
  <c r="FN9" i="10"/>
  <c r="FR9" i="10"/>
  <c r="FO9" i="10"/>
  <c r="FN8" i="10"/>
  <c r="FR8" i="10"/>
  <c r="FO8" i="10"/>
  <c r="FN7" i="10"/>
  <c r="FR7" i="10"/>
  <c r="FO7" i="10"/>
  <c r="FN6" i="10"/>
  <c r="FR6" i="10"/>
  <c r="FO6" i="10"/>
  <c r="FN5" i="10"/>
  <c r="FR5" i="10"/>
  <c r="FO5" i="10"/>
  <c r="FO3" i="10"/>
  <c r="FO35" i="10"/>
  <c r="FR34" i="10"/>
  <c r="FF27" i="10"/>
  <c r="FF29" i="10"/>
  <c r="FF28" i="10"/>
  <c r="FG25" i="10"/>
  <c r="FG24" i="10"/>
  <c r="FF14" i="10"/>
  <c r="FJ14" i="10"/>
  <c r="FG14" i="10"/>
  <c r="FG11" i="10"/>
  <c r="FG8" i="10"/>
  <c r="FG7" i="10"/>
  <c r="FG6" i="10"/>
  <c r="FG5" i="10"/>
  <c r="H4" i="10"/>
  <c r="L4" i="10"/>
  <c r="AL4" i="10"/>
  <c r="H5" i="10"/>
  <c r="L5" i="10"/>
  <c r="AF5" i="10"/>
  <c r="AJ5" i="10"/>
  <c r="X5" i="10"/>
  <c r="AB5" i="10"/>
  <c r="AL5" i="10"/>
  <c r="H6" i="10"/>
  <c r="L6" i="10"/>
  <c r="AF6" i="10"/>
  <c r="AJ6" i="10"/>
  <c r="X6" i="10"/>
  <c r="AB6" i="10"/>
  <c r="AL6" i="10"/>
  <c r="H7" i="10"/>
  <c r="L7" i="10"/>
  <c r="AL7" i="10"/>
  <c r="H8" i="10"/>
  <c r="L8" i="10"/>
  <c r="AF8" i="10"/>
  <c r="AJ8" i="10"/>
  <c r="X8" i="10"/>
  <c r="AB8" i="10"/>
  <c r="AL8" i="10"/>
  <c r="H9" i="10"/>
  <c r="L9" i="10"/>
  <c r="AJ9" i="10"/>
  <c r="X9" i="10"/>
  <c r="AB9" i="10"/>
  <c r="AL9" i="10"/>
  <c r="H10" i="10"/>
  <c r="L10" i="10"/>
  <c r="AF10" i="10"/>
  <c r="AJ10" i="10"/>
  <c r="X10" i="10"/>
  <c r="AB10" i="10"/>
  <c r="AL10" i="10"/>
  <c r="H11" i="10"/>
  <c r="L11" i="10"/>
  <c r="AF11" i="10"/>
  <c r="AJ11" i="10"/>
  <c r="X11" i="10"/>
  <c r="AB11" i="10"/>
  <c r="AL11" i="10"/>
  <c r="H12" i="10"/>
  <c r="L12" i="10"/>
  <c r="AF12" i="10"/>
  <c r="AJ12" i="10"/>
  <c r="X12" i="10"/>
  <c r="AB12" i="10"/>
  <c r="AL12" i="10"/>
  <c r="H13" i="10"/>
  <c r="L13" i="10"/>
  <c r="AL13" i="10"/>
  <c r="H14" i="10"/>
  <c r="L14" i="10"/>
  <c r="AF14" i="10"/>
  <c r="AJ14" i="10"/>
  <c r="X14" i="10"/>
  <c r="AB14" i="10"/>
  <c r="AL14" i="10"/>
  <c r="H15" i="10"/>
  <c r="L15" i="10"/>
  <c r="AL15" i="10"/>
  <c r="H16" i="10"/>
  <c r="L16" i="10"/>
  <c r="AL16" i="10"/>
  <c r="H17" i="10"/>
  <c r="L17" i="10"/>
  <c r="AL17" i="10"/>
  <c r="H18" i="10"/>
  <c r="L18" i="10"/>
  <c r="AL18" i="10"/>
  <c r="H19" i="10"/>
  <c r="L19" i="10"/>
  <c r="AF19" i="10"/>
  <c r="AJ19" i="10"/>
  <c r="X19" i="10"/>
  <c r="AB19" i="10"/>
  <c r="AL19" i="10"/>
  <c r="H20" i="10"/>
  <c r="L20" i="10"/>
  <c r="AF20" i="10"/>
  <c r="AJ20" i="10"/>
  <c r="X20" i="10"/>
  <c r="AB20" i="10"/>
  <c r="AL20" i="10"/>
  <c r="H21" i="10"/>
  <c r="L21" i="10"/>
  <c r="AF21" i="10"/>
  <c r="AJ21" i="10"/>
  <c r="X21" i="10"/>
  <c r="AB21" i="10"/>
  <c r="AL21" i="10"/>
  <c r="H22" i="10"/>
  <c r="L22" i="10"/>
  <c r="AF22" i="10"/>
  <c r="AJ22" i="10"/>
  <c r="X22" i="10"/>
  <c r="AB22" i="10"/>
  <c r="AL22" i="10"/>
  <c r="H23" i="10"/>
  <c r="L23" i="10"/>
  <c r="AL23" i="10"/>
  <c r="H24" i="10"/>
  <c r="L24" i="10"/>
  <c r="AF24" i="10"/>
  <c r="AJ24" i="10"/>
  <c r="X24" i="10"/>
  <c r="AB24" i="10"/>
  <c r="AL24" i="10"/>
  <c r="H25" i="10"/>
  <c r="L25" i="10"/>
  <c r="AL25" i="10"/>
  <c r="H26" i="10"/>
  <c r="L26" i="10"/>
  <c r="AL26" i="10"/>
  <c r="H3" i="10"/>
  <c r="AF3" i="10"/>
  <c r="AJ3" i="10"/>
  <c r="X3" i="10"/>
  <c r="AB3" i="10"/>
  <c r="AL3" i="10"/>
  <c r="DH27" i="10"/>
  <c r="CX28" i="10"/>
  <c r="CX17" i="10"/>
  <c r="CY28" i="10"/>
  <c r="CY29" i="10"/>
  <c r="CX27" i="10"/>
  <c r="CZ28" i="10"/>
  <c r="DA28" i="10"/>
  <c r="CZ29" i="10"/>
  <c r="CY27" i="10"/>
  <c r="CX23" i="10"/>
  <c r="CX3" i="10"/>
  <c r="DC3" i="10"/>
  <c r="DD3" i="10"/>
  <c r="CX4" i="10"/>
  <c r="DB4" i="10"/>
  <c r="DC4" i="10"/>
  <c r="DD4" i="10"/>
  <c r="CX5" i="10"/>
  <c r="DB5" i="10"/>
  <c r="DC5" i="10"/>
  <c r="DD5" i="10"/>
  <c r="CV34" i="10"/>
  <c r="CX26" i="10"/>
  <c r="CD26" i="10"/>
  <c r="CH26" i="10"/>
  <c r="CI26" i="10"/>
  <c r="CN25" i="10"/>
  <c r="CN26" i="10"/>
  <c r="CN24" i="10"/>
  <c r="CN23" i="10"/>
  <c r="CN13" i="10"/>
  <c r="FB4" i="10"/>
  <c r="FB5" i="10"/>
  <c r="EU34" i="10"/>
  <c r="FB21" i="10"/>
  <c r="FB22" i="10"/>
  <c r="FB23" i="10"/>
  <c r="ET37" i="10"/>
  <c r="FB15" i="10"/>
  <c r="FB16" i="10"/>
  <c r="FB17" i="10"/>
  <c r="ET36" i="10"/>
  <c r="FB9" i="10"/>
  <c r="FB10" i="10"/>
  <c r="FB11" i="10"/>
  <c r="ET35" i="10"/>
  <c r="ET34" i="10"/>
  <c r="FB6" i="10"/>
  <c r="FB7" i="10"/>
  <c r="FB8" i="10"/>
  <c r="FB12" i="10"/>
  <c r="FB13" i="10"/>
  <c r="FB14" i="10"/>
  <c r="FB18" i="10"/>
  <c r="FB19" i="10"/>
  <c r="FB20" i="10"/>
  <c r="FB24" i="10"/>
  <c r="FB25" i="10"/>
  <c r="EX37" i="10"/>
  <c r="EY37" i="10"/>
  <c r="EW37" i="10"/>
  <c r="EU37" i="10"/>
  <c r="EV37" i="10"/>
  <c r="EX36" i="10"/>
  <c r="EY36" i="10"/>
  <c r="EW36" i="10"/>
  <c r="EU36" i="10"/>
  <c r="EV36" i="10"/>
  <c r="EX35" i="10"/>
  <c r="EY35" i="10"/>
  <c r="EW35" i="10"/>
  <c r="EU35" i="10"/>
  <c r="EV35" i="10"/>
  <c r="EX34" i="10"/>
  <c r="EY34" i="10"/>
  <c r="EW34" i="10"/>
  <c r="EV34" i="10"/>
  <c r="EV27" i="10"/>
  <c r="EV28" i="10"/>
  <c r="EW25" i="10"/>
  <c r="EW24" i="10"/>
  <c r="EW23" i="10"/>
  <c r="EW22" i="10"/>
  <c r="EW21" i="10"/>
  <c r="EW20" i="10"/>
  <c r="EW19" i="10"/>
  <c r="EW18" i="10"/>
  <c r="EW17" i="10"/>
  <c r="EW16" i="10"/>
  <c r="EW15" i="10"/>
  <c r="EW14" i="10"/>
  <c r="EW13" i="10"/>
  <c r="EW12" i="10"/>
  <c r="EW11" i="10"/>
  <c r="EW10" i="10"/>
  <c r="EW9" i="10"/>
  <c r="EW8" i="10"/>
  <c r="EW7" i="10"/>
  <c r="EW6" i="10"/>
  <c r="EW5" i="10"/>
  <c r="EW4" i="10"/>
  <c r="EW3" i="10"/>
  <c r="EF3" i="10"/>
  <c r="EL27" i="10"/>
  <c r="EM25" i="10"/>
  <c r="EM24" i="10"/>
  <c r="EM23" i="10"/>
  <c r="EM22" i="10"/>
  <c r="EM21" i="10"/>
  <c r="EM20" i="10"/>
  <c r="EM19" i="10"/>
  <c r="EM18" i="10"/>
  <c r="EM16" i="10"/>
  <c r="EM15" i="10"/>
  <c r="EM14" i="10"/>
  <c r="EM13" i="10"/>
  <c r="EM12" i="10"/>
  <c r="EM11" i="10"/>
  <c r="EM10" i="10"/>
  <c r="EM9" i="10"/>
  <c r="EM8" i="10"/>
  <c r="EM7" i="10"/>
  <c r="EM6" i="10"/>
  <c r="EM5" i="10"/>
  <c r="EM4" i="10"/>
  <c r="EM3" i="10"/>
  <c r="EB5" i="10"/>
  <c r="EB4" i="10"/>
  <c r="EF4" i="10"/>
  <c r="EF5" i="10"/>
  <c r="EF6" i="10"/>
  <c r="EB7" i="10"/>
  <c r="EF7" i="10"/>
  <c r="EB8" i="10"/>
  <c r="EF8" i="10"/>
  <c r="EB9" i="10"/>
  <c r="EF9" i="10"/>
  <c r="EB10" i="10"/>
  <c r="EF10" i="10"/>
  <c r="EB11" i="10"/>
  <c r="EF11" i="10"/>
  <c r="EB12" i="10"/>
  <c r="EF12" i="10"/>
  <c r="EB13" i="10"/>
  <c r="EF13" i="10"/>
  <c r="EB14" i="10"/>
  <c r="EF14" i="10"/>
  <c r="EB15" i="10"/>
  <c r="EF15" i="10"/>
  <c r="EB16" i="10"/>
  <c r="EF16" i="10"/>
  <c r="EB17" i="10"/>
  <c r="EF17" i="10"/>
  <c r="EB18" i="10"/>
  <c r="EF18" i="10"/>
  <c r="EB19" i="10"/>
  <c r="EF19" i="10"/>
  <c r="EB20" i="10"/>
  <c r="EF20" i="10"/>
  <c r="EB21" i="10"/>
  <c r="EF21" i="10"/>
  <c r="EB22" i="10"/>
  <c r="EF22" i="10"/>
  <c r="EB23" i="10"/>
  <c r="EF23" i="10"/>
  <c r="EB24" i="10"/>
  <c r="EF24" i="10"/>
  <c r="EB25" i="10"/>
  <c r="EF25" i="10"/>
  <c r="EB27" i="10"/>
  <c r="EB29" i="10"/>
  <c r="EB28" i="10"/>
  <c r="EC25" i="10"/>
  <c r="EC24" i="10"/>
  <c r="EC23" i="10"/>
  <c r="EC22" i="10"/>
  <c r="EC21" i="10"/>
  <c r="EC20" i="10"/>
  <c r="EC19" i="10"/>
  <c r="EC18" i="10"/>
  <c r="EC17" i="10"/>
  <c r="EC16" i="10"/>
  <c r="EC15" i="10"/>
  <c r="EC14" i="10"/>
  <c r="EC13" i="10"/>
  <c r="EC12" i="10"/>
  <c r="EC11" i="10"/>
  <c r="EC10" i="10"/>
  <c r="EC9" i="10"/>
  <c r="EC8" i="10"/>
  <c r="EC7" i="10"/>
  <c r="EC6" i="10"/>
  <c r="EC5" i="10"/>
  <c r="EC4" i="10"/>
  <c r="EC3" i="10"/>
  <c r="DS3" i="10"/>
  <c r="DX4" i="10"/>
  <c r="DX5" i="10"/>
  <c r="DX6" i="10"/>
  <c r="DX7" i="10"/>
  <c r="DX8" i="10"/>
  <c r="DX9" i="10"/>
  <c r="DX10" i="10"/>
  <c r="DX11" i="10"/>
  <c r="DX12" i="10"/>
  <c r="DX13" i="10"/>
  <c r="DX14" i="10"/>
  <c r="DX15" i="10"/>
  <c r="DX16" i="10"/>
  <c r="DX17" i="10"/>
  <c r="DX18" i="10"/>
  <c r="DX19" i="10"/>
  <c r="DX20" i="10"/>
  <c r="DX21" i="10"/>
  <c r="DX22" i="10"/>
  <c r="DX23" i="10"/>
  <c r="DX24" i="10"/>
  <c r="DX25" i="10"/>
  <c r="DQ37" i="10"/>
  <c r="DR37" i="10"/>
  <c r="DP37" i="10"/>
  <c r="DT36" i="10"/>
  <c r="DU36" i="10"/>
  <c r="DS36" i="10"/>
  <c r="DQ36" i="10"/>
  <c r="DR36" i="10"/>
  <c r="DP36" i="10"/>
  <c r="DT35" i="10"/>
  <c r="DU35" i="10"/>
  <c r="DS35" i="10"/>
  <c r="DQ35" i="10"/>
  <c r="DR35" i="10"/>
  <c r="DP35" i="10"/>
  <c r="DT34" i="10"/>
  <c r="DU34" i="10"/>
  <c r="DS34" i="10"/>
  <c r="DQ34" i="10"/>
  <c r="DR34" i="10"/>
  <c r="DP34" i="10"/>
  <c r="DR27" i="10"/>
  <c r="DR28" i="10"/>
  <c r="DS25" i="10"/>
  <c r="DS24" i="10"/>
  <c r="DS23" i="10"/>
  <c r="DS22" i="10"/>
  <c r="DS21" i="10"/>
  <c r="DS20" i="10"/>
  <c r="DS19" i="10"/>
  <c r="DS18" i="10"/>
  <c r="DS17" i="10"/>
  <c r="DS16" i="10"/>
  <c r="DS15" i="10"/>
  <c r="DS14" i="10"/>
  <c r="DS13" i="10"/>
  <c r="DS12" i="10"/>
  <c r="DS11" i="10"/>
  <c r="DS10" i="10"/>
  <c r="DS9" i="10"/>
  <c r="DS8" i="10"/>
  <c r="DS7" i="10"/>
  <c r="DS6" i="10"/>
  <c r="DS5" i="10"/>
  <c r="DS4" i="10"/>
  <c r="DJ34" i="10"/>
  <c r="DK34" i="10"/>
  <c r="DI34" i="10"/>
  <c r="DG34" i="10"/>
  <c r="DH34" i="10"/>
  <c r="DI27" i="10"/>
  <c r="CX6" i="10"/>
  <c r="DB6" i="10"/>
  <c r="DC6" i="10"/>
  <c r="DD6" i="10"/>
  <c r="CX7" i="10"/>
  <c r="DB7" i="10"/>
  <c r="DC7" i="10"/>
  <c r="DD7" i="10"/>
  <c r="CX8" i="10"/>
  <c r="DB8" i="10"/>
  <c r="DC8" i="10"/>
  <c r="DD8" i="10"/>
  <c r="CY34" i="10"/>
  <c r="CX9" i="10"/>
  <c r="DB9" i="10"/>
  <c r="DC9" i="10"/>
  <c r="DD9" i="10"/>
  <c r="CX10" i="10"/>
  <c r="DB10" i="10"/>
  <c r="DC10" i="10"/>
  <c r="DD10" i="10"/>
  <c r="CX11" i="10"/>
  <c r="DB11" i="10"/>
  <c r="DC11" i="10"/>
  <c r="DD11" i="10"/>
  <c r="CX12" i="10"/>
  <c r="DB12" i="10"/>
  <c r="DC12" i="10"/>
  <c r="DD12" i="10"/>
  <c r="CX13" i="10"/>
  <c r="DB13" i="10"/>
  <c r="DC13" i="10"/>
  <c r="DD13" i="10"/>
  <c r="CX14" i="10"/>
  <c r="DB14" i="10"/>
  <c r="DC14" i="10"/>
  <c r="DD14" i="10"/>
  <c r="CX15" i="10"/>
  <c r="DB15" i="10"/>
  <c r="DC15" i="10"/>
  <c r="DD15" i="10"/>
  <c r="CX16" i="10"/>
  <c r="DB16" i="10"/>
  <c r="DC16" i="10"/>
  <c r="DD16" i="10"/>
  <c r="DB17" i="10"/>
  <c r="DC17" i="10"/>
  <c r="DD17" i="10"/>
  <c r="CX18" i="10"/>
  <c r="DB18" i="10"/>
  <c r="DC18" i="10"/>
  <c r="DD18" i="10"/>
  <c r="CX19" i="10"/>
  <c r="DB19" i="10"/>
  <c r="DC19" i="10"/>
  <c r="DD19" i="10"/>
  <c r="CX20" i="10"/>
  <c r="DB20" i="10"/>
  <c r="DC20" i="10"/>
  <c r="DD20" i="10"/>
  <c r="CX21" i="10"/>
  <c r="DB21" i="10"/>
  <c r="DC21" i="10"/>
  <c r="DD21" i="10"/>
  <c r="CX22" i="10"/>
  <c r="DB22" i="10"/>
  <c r="DC22" i="10"/>
  <c r="DD22" i="10"/>
  <c r="DB23" i="10"/>
  <c r="DC23" i="10"/>
  <c r="DD23" i="10"/>
  <c r="CX24" i="10"/>
  <c r="DB24" i="10"/>
  <c r="DC24" i="10"/>
  <c r="DD24" i="10"/>
  <c r="CX25" i="10"/>
  <c r="DB25" i="10"/>
  <c r="DC25" i="10"/>
  <c r="DD25" i="10"/>
  <c r="DB26" i="10"/>
  <c r="DC26" i="10"/>
  <c r="DD26" i="10"/>
  <c r="CY3" i="10"/>
  <c r="CZ37" i="10"/>
  <c r="DA37" i="10"/>
  <c r="CY37" i="10"/>
  <c r="CW37" i="10"/>
  <c r="CX37" i="10"/>
  <c r="CV37" i="10"/>
  <c r="CZ36" i="10"/>
  <c r="DA36" i="10"/>
  <c r="CY36" i="10"/>
  <c r="CW36" i="10"/>
  <c r="CX36" i="10"/>
  <c r="CV36" i="10"/>
  <c r="CZ35" i="10"/>
  <c r="DA35" i="10"/>
  <c r="CY35" i="10"/>
  <c r="CW35" i="10"/>
  <c r="CX35" i="10"/>
  <c r="CV35" i="10"/>
  <c r="CZ34" i="10"/>
  <c r="DA34" i="10"/>
  <c r="CW34" i="10"/>
  <c r="CX34" i="10"/>
  <c r="CY26" i="10"/>
  <c r="CY25" i="10"/>
  <c r="CY24" i="10"/>
  <c r="CY23" i="10"/>
  <c r="CY22" i="10"/>
  <c r="CY21" i="10"/>
  <c r="CY20" i="10"/>
  <c r="CY19" i="10"/>
  <c r="CY18" i="10"/>
  <c r="CY17" i="10"/>
  <c r="CY16" i="10"/>
  <c r="CY15" i="10"/>
  <c r="CY14" i="10"/>
  <c r="CY13" i="10"/>
  <c r="CY12" i="10"/>
  <c r="CY11" i="10"/>
  <c r="CY10" i="10"/>
  <c r="CY9" i="10"/>
  <c r="CY8" i="10"/>
  <c r="CY7" i="10"/>
  <c r="CY6" i="10"/>
  <c r="CY5" i="10"/>
  <c r="CY4" i="10"/>
  <c r="CR24" i="10"/>
  <c r="CS24" i="10"/>
  <c r="CT24" i="10"/>
  <c r="CR25" i="10"/>
  <c r="CS25" i="10"/>
  <c r="CT25" i="10"/>
  <c r="CR26" i="10"/>
  <c r="CS26" i="10"/>
  <c r="CT26" i="10"/>
  <c r="CP37" i="10"/>
  <c r="CN6" i="10"/>
  <c r="CR6" i="10"/>
  <c r="CS6" i="10"/>
  <c r="CT6" i="10"/>
  <c r="CN7" i="10"/>
  <c r="CR7" i="10"/>
  <c r="CS7" i="10"/>
  <c r="CT7" i="10"/>
  <c r="CN8" i="10"/>
  <c r="CR8" i="10"/>
  <c r="CS8" i="10"/>
  <c r="CT8" i="10"/>
  <c r="CP34" i="10"/>
  <c r="CQ34" i="10"/>
  <c r="CN4" i="10"/>
  <c r="CR4" i="10"/>
  <c r="CS4" i="10"/>
  <c r="CT4" i="10"/>
  <c r="CN5" i="10"/>
  <c r="CR5" i="10"/>
  <c r="CS5" i="10"/>
  <c r="CT5" i="10"/>
  <c r="CN9" i="10"/>
  <c r="CR9" i="10"/>
  <c r="CS9" i="10"/>
  <c r="CT9" i="10"/>
  <c r="CN10" i="10"/>
  <c r="CR10" i="10"/>
  <c r="CS10" i="10"/>
  <c r="CT10" i="10"/>
  <c r="CN11" i="10"/>
  <c r="CR11" i="10"/>
  <c r="CS11" i="10"/>
  <c r="CT11" i="10"/>
  <c r="CN12" i="10"/>
  <c r="CR12" i="10"/>
  <c r="CS12" i="10"/>
  <c r="CT12" i="10"/>
  <c r="CR13" i="10"/>
  <c r="CS13" i="10"/>
  <c r="CT13" i="10"/>
  <c r="CN14" i="10"/>
  <c r="CR14" i="10"/>
  <c r="CS14" i="10"/>
  <c r="CT14" i="10"/>
  <c r="CN15" i="10"/>
  <c r="CR15" i="10"/>
  <c r="CS15" i="10"/>
  <c r="CT15" i="10"/>
  <c r="CN16" i="10"/>
  <c r="CR16" i="10"/>
  <c r="CS16" i="10"/>
  <c r="CT16" i="10"/>
  <c r="CN17" i="10"/>
  <c r="CR17" i="10"/>
  <c r="CS17" i="10"/>
  <c r="CT17" i="10"/>
  <c r="CN18" i="10"/>
  <c r="CR18" i="10"/>
  <c r="CS18" i="10"/>
  <c r="CT18" i="10"/>
  <c r="CN19" i="10"/>
  <c r="CR19" i="10"/>
  <c r="CS19" i="10"/>
  <c r="CT19" i="10"/>
  <c r="CN20" i="10"/>
  <c r="CR20" i="10"/>
  <c r="CS20" i="10"/>
  <c r="CT20" i="10"/>
  <c r="CN21" i="10"/>
  <c r="CR21" i="10"/>
  <c r="CS21" i="10"/>
  <c r="CT21" i="10"/>
  <c r="CN22" i="10"/>
  <c r="CR22" i="10"/>
  <c r="CS22" i="10"/>
  <c r="CT22" i="10"/>
  <c r="CR23" i="10"/>
  <c r="CS23" i="10"/>
  <c r="CT23" i="10"/>
  <c r="CN3" i="10"/>
  <c r="CR3" i="10"/>
  <c r="CS3" i="10"/>
  <c r="CT3" i="10"/>
  <c r="CQ37" i="10"/>
  <c r="CO37" i="10"/>
  <c r="CM37" i="10"/>
  <c r="CN37" i="10"/>
  <c r="CL37" i="10"/>
  <c r="CP36" i="10"/>
  <c r="CQ36" i="10"/>
  <c r="CO36" i="10"/>
  <c r="CM36" i="10"/>
  <c r="CN36" i="10"/>
  <c r="CL36" i="10"/>
  <c r="CP35" i="10"/>
  <c r="CQ35" i="10"/>
  <c r="CO35" i="10"/>
  <c r="CM35" i="10"/>
  <c r="CN35" i="10"/>
  <c r="CL35" i="10"/>
  <c r="CO34" i="10"/>
  <c r="CM34" i="10"/>
  <c r="CN34" i="10"/>
  <c r="CL34" i="10"/>
  <c r="CO26" i="10"/>
  <c r="CO25" i="10"/>
  <c r="CO24" i="10"/>
  <c r="CO23" i="10"/>
  <c r="CO22" i="10"/>
  <c r="CO21" i="10"/>
  <c r="CO20" i="10"/>
  <c r="CO19" i="10"/>
  <c r="CO18" i="10"/>
  <c r="CO17" i="10"/>
  <c r="CO16" i="10"/>
  <c r="CO15" i="10"/>
  <c r="CO14" i="10"/>
  <c r="CO13" i="10"/>
  <c r="CO12" i="10"/>
  <c r="CO11" i="10"/>
  <c r="CO10" i="10"/>
  <c r="CO9" i="10"/>
  <c r="CO8" i="10"/>
  <c r="CO7" i="10"/>
  <c r="CO6" i="10"/>
  <c r="CO5" i="10"/>
  <c r="CO4" i="10"/>
  <c r="CO3" i="10"/>
  <c r="CD27" i="10"/>
  <c r="CD29" i="10"/>
  <c r="CD30" i="10"/>
  <c r="CE27" i="10"/>
  <c r="BT19" i="10"/>
  <c r="CD6" i="10"/>
  <c r="CH6" i="10"/>
  <c r="CI6" i="10"/>
  <c r="AK6" i="10"/>
  <c r="CJ6" i="10"/>
  <c r="CD7" i="10"/>
  <c r="CH7" i="10"/>
  <c r="CI7" i="10"/>
  <c r="CJ7" i="10"/>
  <c r="CD8" i="10"/>
  <c r="CH8" i="10"/>
  <c r="CI8" i="10"/>
  <c r="AK8" i="10"/>
  <c r="CJ8" i="10"/>
  <c r="CE34" i="10"/>
  <c r="CD4" i="10"/>
  <c r="CH4" i="10"/>
  <c r="CI4" i="10"/>
  <c r="CJ4" i="10"/>
  <c r="CD5" i="10"/>
  <c r="CH5" i="10"/>
  <c r="CI5" i="10"/>
  <c r="AK5" i="10"/>
  <c r="CJ5" i="10"/>
  <c r="CD9" i="10"/>
  <c r="CH9" i="10"/>
  <c r="CI9" i="10"/>
  <c r="AK9" i="10"/>
  <c r="CJ9" i="10"/>
  <c r="CD10" i="10"/>
  <c r="CH10" i="10"/>
  <c r="CI10" i="10"/>
  <c r="AK10" i="10"/>
  <c r="CJ10" i="10"/>
  <c r="CD11" i="10"/>
  <c r="CH11" i="10"/>
  <c r="CI11" i="10"/>
  <c r="AK11" i="10"/>
  <c r="CJ11" i="10"/>
  <c r="CD12" i="10"/>
  <c r="CH12" i="10"/>
  <c r="CI12" i="10"/>
  <c r="AK12" i="10"/>
  <c r="CJ12" i="10"/>
  <c r="CD13" i="10"/>
  <c r="CH13" i="10"/>
  <c r="CI13" i="10"/>
  <c r="CJ13" i="10"/>
  <c r="CD14" i="10"/>
  <c r="CH14" i="10"/>
  <c r="CI14" i="10"/>
  <c r="AK14" i="10"/>
  <c r="CJ14" i="10"/>
  <c r="CD15" i="10"/>
  <c r="CH15" i="10"/>
  <c r="CI15" i="10"/>
  <c r="CJ15" i="10"/>
  <c r="CD16" i="10"/>
  <c r="CH16" i="10"/>
  <c r="CI16" i="10"/>
  <c r="CJ16" i="10"/>
  <c r="CD17" i="10"/>
  <c r="CH17" i="10"/>
  <c r="CI17" i="10"/>
  <c r="CJ17" i="10"/>
  <c r="CD18" i="10"/>
  <c r="CH18" i="10"/>
  <c r="CI18" i="10"/>
  <c r="AK18" i="10"/>
  <c r="CJ18" i="10"/>
  <c r="CD19" i="10"/>
  <c r="CH19" i="10"/>
  <c r="CI19" i="10"/>
  <c r="AK19" i="10"/>
  <c r="CJ19" i="10"/>
  <c r="CD20" i="10"/>
  <c r="CH20" i="10"/>
  <c r="CI20" i="10"/>
  <c r="AK20" i="10"/>
  <c r="CJ20" i="10"/>
  <c r="CD21" i="10"/>
  <c r="CH21" i="10"/>
  <c r="CI21" i="10"/>
  <c r="AK21" i="10"/>
  <c r="CJ21" i="10"/>
  <c r="CD22" i="10"/>
  <c r="CH22" i="10"/>
  <c r="CI22" i="10"/>
  <c r="AK22" i="10"/>
  <c r="CJ22" i="10"/>
  <c r="CD23" i="10"/>
  <c r="CH23" i="10"/>
  <c r="CI23" i="10"/>
  <c r="CJ23" i="10"/>
  <c r="CD24" i="10"/>
  <c r="CH24" i="10"/>
  <c r="CI24" i="10"/>
  <c r="AK24" i="10"/>
  <c r="CJ24" i="10"/>
  <c r="CD25" i="10"/>
  <c r="CH25" i="10"/>
  <c r="CI25" i="10"/>
  <c r="CJ25" i="10"/>
  <c r="CJ26" i="10"/>
  <c r="CD3" i="10"/>
  <c r="CI3" i="10"/>
  <c r="AK3" i="10"/>
  <c r="CJ3" i="10"/>
  <c r="CD28" i="10"/>
  <c r="CE3" i="10"/>
  <c r="CF37" i="10"/>
  <c r="CG37" i="10"/>
  <c r="CE37" i="10"/>
  <c r="CC37" i="10"/>
  <c r="CD37" i="10"/>
  <c r="CB37" i="10"/>
  <c r="CF36" i="10"/>
  <c r="CG36" i="10"/>
  <c r="CE36" i="10"/>
  <c r="CC36" i="10"/>
  <c r="CD36" i="10"/>
  <c r="CB36" i="10"/>
  <c r="CF35" i="10"/>
  <c r="CG35" i="10"/>
  <c r="CE35" i="10"/>
  <c r="CC35" i="10"/>
  <c r="CD35" i="10"/>
  <c r="CB35" i="10"/>
  <c r="CF34" i="10"/>
  <c r="CG34" i="10"/>
  <c r="CC34" i="10"/>
  <c r="CD34" i="10"/>
  <c r="CE26" i="10"/>
  <c r="CE25" i="10"/>
  <c r="CE24" i="10"/>
  <c r="CE23" i="10"/>
  <c r="CE22" i="10"/>
  <c r="CE21" i="10"/>
  <c r="CE20" i="10"/>
  <c r="CE19" i="10"/>
  <c r="CE18" i="10"/>
  <c r="CE17" i="10"/>
  <c r="CE16" i="10"/>
  <c r="CE15" i="10"/>
  <c r="CE14" i="10"/>
  <c r="CE13" i="10"/>
  <c r="CE12" i="10"/>
  <c r="CE11" i="10"/>
  <c r="CE10" i="10"/>
  <c r="CE9" i="10"/>
  <c r="CE8" i="10"/>
  <c r="CE7" i="10"/>
  <c r="CE6" i="10"/>
  <c r="CE5" i="10"/>
  <c r="CE4" i="10"/>
  <c r="BN30" i="10"/>
  <c r="BN31" i="10"/>
  <c r="BJ27" i="10"/>
  <c r="BJ26" i="10"/>
  <c r="BL27" i="10"/>
  <c r="BM30" i="10"/>
  <c r="BM29" i="10"/>
  <c r="BL28" i="10"/>
  <c r="BL29" i="10"/>
  <c r="BJ28" i="10"/>
  <c r="BT3" i="10"/>
  <c r="BX3" i="10"/>
  <c r="BY3" i="10"/>
  <c r="BZ3" i="10"/>
  <c r="BT4" i="10"/>
  <c r="BX4" i="10"/>
  <c r="BY4" i="10"/>
  <c r="BZ4" i="10"/>
  <c r="BT5" i="10"/>
  <c r="BX5" i="10"/>
  <c r="BY5" i="10"/>
  <c r="BZ5" i="10"/>
  <c r="BR34" i="10"/>
  <c r="AG42" i="10"/>
  <c r="Q77" i="6"/>
  <c r="AF9" i="10"/>
  <c r="Q21" i="6"/>
  <c r="Q11" i="6"/>
  <c r="Q53" i="6"/>
  <c r="Q39" i="6"/>
  <c r="X28" i="10"/>
  <c r="X25" i="10"/>
  <c r="Y28" i="10"/>
  <c r="Y29" i="10"/>
  <c r="BS34" i="10"/>
  <c r="BT24" i="10"/>
  <c r="BX24" i="10"/>
  <c r="BY24" i="10"/>
  <c r="BZ24" i="10"/>
  <c r="BT25" i="10"/>
  <c r="BX25" i="10"/>
  <c r="BY25" i="10"/>
  <c r="BZ25" i="10"/>
  <c r="BT26" i="10"/>
  <c r="BX26" i="10"/>
  <c r="BY26" i="10"/>
  <c r="BZ26" i="10"/>
  <c r="BV37" i="10"/>
  <c r="BW37" i="10"/>
  <c r="BU37" i="10"/>
  <c r="BT21" i="10"/>
  <c r="BX21" i="10"/>
  <c r="BY21" i="10"/>
  <c r="BZ21" i="10"/>
  <c r="BT22" i="10"/>
  <c r="BX22" i="10"/>
  <c r="BY22" i="10"/>
  <c r="BZ22" i="10"/>
  <c r="BT23" i="10"/>
  <c r="BX23" i="10"/>
  <c r="BY23" i="10"/>
  <c r="BZ23" i="10"/>
  <c r="BS37" i="10"/>
  <c r="BT37" i="10"/>
  <c r="BR37" i="10"/>
  <c r="X18" i="10"/>
  <c r="AB18" i="10"/>
  <c r="BT18" i="10"/>
  <c r="BX18" i="10"/>
  <c r="BY18" i="10"/>
  <c r="BZ18" i="10"/>
  <c r="BX19" i="10"/>
  <c r="BY19" i="10"/>
  <c r="BZ19" i="10"/>
  <c r="BT20" i="10"/>
  <c r="BX20" i="10"/>
  <c r="BY20" i="10"/>
  <c r="BZ20" i="10"/>
  <c r="BV36" i="10"/>
  <c r="BW36" i="10"/>
  <c r="BU36" i="10"/>
  <c r="BT15" i="10"/>
  <c r="BX15" i="10"/>
  <c r="BY15" i="10"/>
  <c r="BZ15" i="10"/>
  <c r="BT16" i="10"/>
  <c r="BX16" i="10"/>
  <c r="BY16" i="10"/>
  <c r="BZ16" i="10"/>
  <c r="BT17" i="10"/>
  <c r="BX17" i="10"/>
  <c r="BY17" i="10"/>
  <c r="BZ17" i="10"/>
  <c r="BS36" i="10"/>
  <c r="BT36" i="10"/>
  <c r="BR36" i="10"/>
  <c r="BT12" i="10"/>
  <c r="BX12" i="10"/>
  <c r="BY12" i="10"/>
  <c r="BZ12" i="10"/>
  <c r="BT13" i="10"/>
  <c r="BX13" i="10"/>
  <c r="BY13" i="10"/>
  <c r="BZ13" i="10"/>
  <c r="BT14" i="10"/>
  <c r="BX14" i="10"/>
  <c r="BY14" i="10"/>
  <c r="BZ14" i="10"/>
  <c r="BV35" i="10"/>
  <c r="BW35" i="10"/>
  <c r="BU35" i="10"/>
  <c r="BT9" i="10"/>
  <c r="BX9" i="10"/>
  <c r="BY9" i="10"/>
  <c r="BZ9" i="10"/>
  <c r="BT10" i="10"/>
  <c r="BX10" i="10"/>
  <c r="BY10" i="10"/>
  <c r="BZ10" i="10"/>
  <c r="BT11" i="10"/>
  <c r="BX11" i="10"/>
  <c r="BY11" i="10"/>
  <c r="BZ11" i="10"/>
  <c r="BS35" i="10"/>
  <c r="BT35" i="10"/>
  <c r="BR35" i="10"/>
  <c r="BT6" i="10"/>
  <c r="BX6" i="10"/>
  <c r="BY6" i="10"/>
  <c r="BZ6" i="10"/>
  <c r="BT7" i="10"/>
  <c r="BX7" i="10"/>
  <c r="BY7" i="10"/>
  <c r="BZ7" i="10"/>
  <c r="BT8" i="10"/>
  <c r="BX8" i="10"/>
  <c r="BY8" i="10"/>
  <c r="BZ8" i="10"/>
  <c r="BV34" i="10"/>
  <c r="BW34" i="10"/>
  <c r="BU34" i="10"/>
  <c r="BT34" i="10"/>
  <c r="BJ3" i="10"/>
  <c r="BN3" i="10"/>
  <c r="BP3" i="10"/>
  <c r="BJ4" i="10"/>
  <c r="BN4" i="10"/>
  <c r="BO4" i="10"/>
  <c r="BP4" i="10"/>
  <c r="BJ5" i="10"/>
  <c r="BN5" i="10"/>
  <c r="BO5" i="10"/>
  <c r="BP5" i="10"/>
  <c r="BI34" i="10"/>
  <c r="BJ34" i="10"/>
  <c r="BJ6" i="10"/>
  <c r="BN6" i="10"/>
  <c r="BO6" i="10"/>
  <c r="BP6" i="10"/>
  <c r="BJ7" i="10"/>
  <c r="BN7" i="10"/>
  <c r="BO7" i="10"/>
  <c r="BP7" i="10"/>
  <c r="BJ8" i="10"/>
  <c r="BN8" i="10"/>
  <c r="BO8" i="10"/>
  <c r="BP8" i="10"/>
  <c r="BK34" i="10"/>
  <c r="BJ24" i="10"/>
  <c r="BN24" i="10"/>
  <c r="BO24" i="10"/>
  <c r="BP24" i="10"/>
  <c r="BJ25" i="10"/>
  <c r="BN25" i="10"/>
  <c r="BO25" i="10"/>
  <c r="BP25" i="10"/>
  <c r="BN26" i="10"/>
  <c r="BO26" i="10"/>
  <c r="BP26" i="10"/>
  <c r="BL37" i="10"/>
  <c r="BM37" i="10"/>
  <c r="BK37" i="10"/>
  <c r="BJ21" i="10"/>
  <c r="BN21" i="10"/>
  <c r="BO21" i="10"/>
  <c r="BP21" i="10"/>
  <c r="BJ22" i="10"/>
  <c r="BN22" i="10"/>
  <c r="BO22" i="10"/>
  <c r="BP22" i="10"/>
  <c r="BJ23" i="10"/>
  <c r="BN23" i="10"/>
  <c r="BO23" i="10"/>
  <c r="BP23" i="10"/>
  <c r="BI37" i="10"/>
  <c r="BJ37" i="10"/>
  <c r="BH37" i="10"/>
  <c r="BJ18" i="10"/>
  <c r="BN18" i="10"/>
  <c r="BO18" i="10"/>
  <c r="BP18" i="10"/>
  <c r="BJ19" i="10"/>
  <c r="BN19" i="10"/>
  <c r="BO19" i="10"/>
  <c r="BP19" i="10"/>
  <c r="BJ20" i="10"/>
  <c r="BN20" i="10"/>
  <c r="BO20" i="10"/>
  <c r="BP20" i="10"/>
  <c r="BL36" i="10"/>
  <c r="BM36" i="10"/>
  <c r="BK36" i="10"/>
  <c r="BJ15" i="10"/>
  <c r="BN15" i="10"/>
  <c r="BO15" i="10"/>
  <c r="BP15" i="10"/>
  <c r="BJ16" i="10"/>
  <c r="BN16" i="10"/>
  <c r="BO16" i="10"/>
  <c r="BP16" i="10"/>
  <c r="BJ17" i="10"/>
  <c r="BN17" i="10"/>
  <c r="BO17" i="10"/>
  <c r="BP17" i="10"/>
  <c r="BI36" i="10"/>
  <c r="BJ36" i="10"/>
  <c r="BH36" i="10"/>
  <c r="BJ12" i="10"/>
  <c r="BN12" i="10"/>
  <c r="BO12" i="10"/>
  <c r="BP12" i="10"/>
  <c r="BJ13" i="10"/>
  <c r="BN13" i="10"/>
  <c r="BO13" i="10"/>
  <c r="BP13" i="10"/>
  <c r="BJ14" i="10"/>
  <c r="BN14" i="10"/>
  <c r="BO14" i="10"/>
  <c r="BP14" i="10"/>
  <c r="BL35" i="10"/>
  <c r="BM35" i="10"/>
  <c r="BK35" i="10"/>
  <c r="BJ9" i="10"/>
  <c r="BN9" i="10"/>
  <c r="BO9" i="10"/>
  <c r="BP9" i="10"/>
  <c r="BJ10" i="10"/>
  <c r="BN10" i="10"/>
  <c r="BO10" i="10"/>
  <c r="BP10" i="10"/>
  <c r="BJ11" i="10"/>
  <c r="BN11" i="10"/>
  <c r="BO11" i="10"/>
  <c r="BP11" i="10"/>
  <c r="BI35" i="10"/>
  <c r="BJ35" i="10"/>
  <c r="BH35" i="10"/>
  <c r="BL34" i="10"/>
  <c r="BM34" i="10"/>
  <c r="BH34" i="10"/>
  <c r="X7" i="10"/>
  <c r="AB7" i="10"/>
  <c r="X13" i="10"/>
  <c r="AB13" i="10"/>
  <c r="AJ13" i="10"/>
  <c r="AB25" i="10"/>
  <c r="BU26" i="10"/>
  <c r="BU25" i="10"/>
  <c r="BU24" i="10"/>
  <c r="BU23" i="10"/>
  <c r="BU22" i="10"/>
  <c r="BU21" i="10"/>
  <c r="BU20" i="10"/>
  <c r="BU19" i="10"/>
  <c r="BU18" i="10"/>
  <c r="BU17" i="10"/>
  <c r="BU16" i="10"/>
  <c r="BU15" i="10"/>
  <c r="BU14" i="10"/>
  <c r="BU13" i="10"/>
  <c r="BU12" i="10"/>
  <c r="BU11" i="10"/>
  <c r="BU10" i="10"/>
  <c r="BU9" i="10"/>
  <c r="BU8" i="10"/>
  <c r="BU7" i="10"/>
  <c r="BU6" i="10"/>
  <c r="BU5" i="10"/>
  <c r="BU4" i="10"/>
  <c r="BU3" i="10"/>
  <c r="BK4" i="10"/>
  <c r="BK5" i="10"/>
  <c r="BK6" i="10"/>
  <c r="BK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3" i="10"/>
  <c r="AZ15" i="10"/>
  <c r="BD15" i="10"/>
  <c r="BE15" i="10"/>
  <c r="BF15" i="10"/>
  <c r="AZ16" i="10"/>
  <c r="BD16" i="10"/>
  <c r="BE16" i="10"/>
  <c r="BF16" i="10"/>
  <c r="AZ17" i="10"/>
  <c r="BD17" i="10"/>
  <c r="BE17" i="10"/>
  <c r="BF17" i="10"/>
  <c r="AX44" i="10"/>
  <c r="AZ3" i="10"/>
  <c r="BF3" i="10"/>
  <c r="AZ5" i="10"/>
  <c r="BD5" i="10"/>
  <c r="BE5" i="10"/>
  <c r="BF5" i="10"/>
  <c r="AZ4" i="10"/>
  <c r="BD4" i="10"/>
  <c r="BE4" i="10"/>
  <c r="BF4" i="10"/>
  <c r="AZ24" i="10"/>
  <c r="BD24" i="10"/>
  <c r="BE24" i="10"/>
  <c r="BF24" i="10"/>
  <c r="AZ25" i="10"/>
  <c r="BD25" i="10"/>
  <c r="BE25" i="10"/>
  <c r="BF25" i="10"/>
  <c r="AZ26" i="10"/>
  <c r="BD26" i="10"/>
  <c r="BE26" i="10"/>
  <c r="BF26" i="10"/>
  <c r="BB45" i="10"/>
  <c r="BC45" i="10"/>
  <c r="BA45" i="10"/>
  <c r="AZ21" i="10"/>
  <c r="BD21" i="10"/>
  <c r="BE21" i="10"/>
  <c r="BF21" i="10"/>
  <c r="AZ22" i="10"/>
  <c r="BD22" i="10"/>
  <c r="BE22" i="10"/>
  <c r="BF22" i="10"/>
  <c r="AZ23" i="10"/>
  <c r="BD23" i="10"/>
  <c r="BE23" i="10"/>
  <c r="BF23" i="10"/>
  <c r="AY45" i="10"/>
  <c r="AZ45" i="10"/>
  <c r="AX45" i="10"/>
  <c r="AZ18" i="10"/>
  <c r="BD18" i="10"/>
  <c r="BE18" i="10"/>
  <c r="BF18" i="10"/>
  <c r="AZ19" i="10"/>
  <c r="BD19" i="10"/>
  <c r="BE19" i="10"/>
  <c r="BF19" i="10"/>
  <c r="AZ20" i="10"/>
  <c r="BD20" i="10"/>
  <c r="BE20" i="10"/>
  <c r="BF20" i="10"/>
  <c r="BB44" i="10"/>
  <c r="BC44" i="10"/>
  <c r="BA44" i="10"/>
  <c r="AY44" i="10"/>
  <c r="AZ44" i="10"/>
  <c r="AZ12" i="10"/>
  <c r="BD12" i="10"/>
  <c r="BE12" i="10"/>
  <c r="BF12" i="10"/>
  <c r="AZ14" i="10"/>
  <c r="BD14" i="10"/>
  <c r="BE14" i="10"/>
  <c r="BF14" i="10"/>
  <c r="AZ13" i="10"/>
  <c r="BD13" i="10"/>
  <c r="BE13" i="10"/>
  <c r="BF13" i="10"/>
  <c r="BB43" i="10"/>
  <c r="BC43" i="10"/>
  <c r="BA43" i="10"/>
  <c r="AZ9" i="10"/>
  <c r="BD9" i="10"/>
  <c r="BE9" i="10"/>
  <c r="BF9" i="10"/>
  <c r="AZ10" i="10"/>
  <c r="BD10" i="10"/>
  <c r="BE10" i="10"/>
  <c r="BF10" i="10"/>
  <c r="AZ11" i="10"/>
  <c r="BD11" i="10"/>
  <c r="BE11" i="10"/>
  <c r="BF11" i="10"/>
  <c r="AY43" i="10"/>
  <c r="AZ43" i="10"/>
  <c r="AX43" i="10"/>
  <c r="AZ6" i="10"/>
  <c r="BD6" i="10"/>
  <c r="BE6" i="10"/>
  <c r="BF6" i="10"/>
  <c r="AZ7" i="10"/>
  <c r="BD7" i="10"/>
  <c r="BE7" i="10"/>
  <c r="BF7" i="10"/>
  <c r="AZ8" i="10"/>
  <c r="BD8" i="10"/>
  <c r="BE8" i="10"/>
  <c r="BF8" i="10"/>
  <c r="BB42" i="10"/>
  <c r="BC42" i="10"/>
  <c r="BA42" i="10"/>
  <c r="AP24" i="10"/>
  <c r="AT24" i="10"/>
  <c r="AU24" i="10"/>
  <c r="AV24" i="10"/>
  <c r="AP25" i="10"/>
  <c r="AT25" i="10"/>
  <c r="AU25" i="10"/>
  <c r="AV25" i="10"/>
  <c r="AP26" i="10"/>
  <c r="AT26" i="10"/>
  <c r="AU26" i="10"/>
  <c r="AV26" i="10"/>
  <c r="AR45" i="10"/>
  <c r="AQ45" i="10"/>
  <c r="AP21" i="10"/>
  <c r="AT21" i="10"/>
  <c r="AU21" i="10"/>
  <c r="AV21" i="10"/>
  <c r="AP22" i="10"/>
  <c r="AT22" i="10"/>
  <c r="AU22" i="10"/>
  <c r="AV22" i="10"/>
  <c r="AP23" i="10"/>
  <c r="AT23" i="10"/>
  <c r="AU23" i="10"/>
  <c r="AV23" i="10"/>
  <c r="AO45" i="10"/>
  <c r="AN45" i="10"/>
  <c r="AP18" i="10"/>
  <c r="AT18" i="10"/>
  <c r="AU18" i="10"/>
  <c r="AV18" i="10"/>
  <c r="AP19" i="10"/>
  <c r="AT19" i="10"/>
  <c r="AU19" i="10"/>
  <c r="AV19" i="10"/>
  <c r="AP20" i="10"/>
  <c r="AT20" i="10"/>
  <c r="AU20" i="10"/>
  <c r="AV20" i="10"/>
  <c r="AR44" i="10"/>
  <c r="AQ44" i="10"/>
  <c r="AP15" i="10"/>
  <c r="AT15" i="10"/>
  <c r="AU15" i="10"/>
  <c r="AV15" i="10"/>
  <c r="AP16" i="10"/>
  <c r="AT16" i="10"/>
  <c r="AU16" i="10"/>
  <c r="AV16" i="10"/>
  <c r="AP17" i="10"/>
  <c r="AT17" i="10"/>
  <c r="AU17" i="10"/>
  <c r="AV17" i="10"/>
  <c r="AO44" i="10"/>
  <c r="AN44" i="10"/>
  <c r="AP12" i="10"/>
  <c r="AT12" i="10"/>
  <c r="AU12" i="10"/>
  <c r="AV12" i="10"/>
  <c r="AP14" i="10"/>
  <c r="AT14" i="10"/>
  <c r="AU14" i="10"/>
  <c r="AV14" i="10"/>
  <c r="AP13" i="10"/>
  <c r="AT13" i="10"/>
  <c r="AU13" i="10"/>
  <c r="AV13" i="10"/>
  <c r="AR43" i="10"/>
  <c r="AQ43" i="10"/>
  <c r="AP9" i="10"/>
  <c r="AT9" i="10"/>
  <c r="AU9" i="10"/>
  <c r="AV9" i="10"/>
  <c r="AP10" i="10"/>
  <c r="AT10" i="10"/>
  <c r="AU10" i="10"/>
  <c r="AV10" i="10"/>
  <c r="AP11" i="10"/>
  <c r="AT11" i="10"/>
  <c r="AU11" i="10"/>
  <c r="AV11" i="10"/>
  <c r="AO43" i="10"/>
  <c r="AN43" i="10"/>
  <c r="AS43" i="10"/>
  <c r="AS44" i="10"/>
  <c r="AS45" i="10"/>
  <c r="AP6" i="10"/>
  <c r="AT6" i="10"/>
  <c r="AU6" i="10"/>
  <c r="AV6" i="10"/>
  <c r="AP7" i="10"/>
  <c r="AT7" i="10"/>
  <c r="AU7" i="10"/>
  <c r="AV7" i="10"/>
  <c r="AP8" i="10"/>
  <c r="AT8" i="10"/>
  <c r="AU8" i="10"/>
  <c r="AV8" i="10"/>
  <c r="AR42" i="10"/>
  <c r="AS42" i="10"/>
  <c r="AQ42" i="10"/>
  <c r="AP43" i="10"/>
  <c r="AP44" i="10"/>
  <c r="AP45" i="10"/>
  <c r="AU3" i="10"/>
  <c r="AV3" i="10"/>
  <c r="AP5" i="10"/>
  <c r="AT5" i="10"/>
  <c r="AU5" i="10"/>
  <c r="AV5" i="10"/>
  <c r="AP4" i="10"/>
  <c r="AT4" i="10"/>
  <c r="AU4" i="10"/>
  <c r="AV4" i="10"/>
  <c r="AO42" i="10"/>
  <c r="AP42" i="10"/>
  <c r="Q75" i="6"/>
  <c r="Q61" i="6"/>
  <c r="Q30" i="6"/>
  <c r="Q29" i="6"/>
  <c r="Q28" i="6"/>
  <c r="P2" i="6"/>
  <c r="AK45" i="10"/>
  <c r="AJ45" i="10"/>
  <c r="AH45" i="10"/>
  <c r="AG45" i="10"/>
  <c r="AK44" i="10"/>
  <c r="AJ44" i="10"/>
  <c r="AH44" i="10"/>
  <c r="AG44" i="10"/>
  <c r="AK43" i="10"/>
  <c r="AJ43" i="10"/>
  <c r="AH43" i="10"/>
  <c r="AG43" i="10"/>
  <c r="AK42" i="10"/>
  <c r="AJ42" i="10"/>
  <c r="AL43" i="10"/>
  <c r="AL44" i="10"/>
  <c r="AL45" i="10"/>
  <c r="AL42" i="10"/>
  <c r="AI43" i="10"/>
  <c r="AI44" i="10"/>
  <c r="AI45" i="10"/>
  <c r="AH42" i="10"/>
  <c r="AI42" i="10"/>
  <c r="AK39" i="10"/>
  <c r="AJ39" i="10"/>
  <c r="AH39" i="10"/>
  <c r="AG39" i="10"/>
  <c r="AK37" i="10"/>
  <c r="AL37" i="10"/>
  <c r="AK38" i="10"/>
  <c r="AL38" i="10"/>
  <c r="AL39" i="10"/>
  <c r="AJ38" i="10"/>
  <c r="AH38" i="10"/>
  <c r="AG38" i="10"/>
  <c r="AJ37" i="10"/>
  <c r="AH37" i="10"/>
  <c r="AG37" i="10"/>
  <c r="AK36" i="10"/>
  <c r="AJ36" i="10"/>
  <c r="AL36" i="10"/>
  <c r="AI37" i="10"/>
  <c r="AI38" i="10"/>
  <c r="AI39" i="10"/>
  <c r="AH36" i="10"/>
  <c r="AI36" i="10"/>
  <c r="AG36" i="10"/>
  <c r="AG5" i="10"/>
  <c r="AG6" i="10"/>
  <c r="AG8" i="10"/>
  <c r="AG9" i="10"/>
  <c r="AG10" i="10"/>
  <c r="AG11" i="10"/>
  <c r="AG12" i="10"/>
  <c r="AG14" i="10"/>
  <c r="AG19" i="10"/>
  <c r="AG20" i="10"/>
  <c r="AG3" i="10"/>
  <c r="AF27" i="10"/>
  <c r="AF28" i="10"/>
  <c r="Y5" i="10"/>
  <c r="Y6" i="10"/>
  <c r="Y7" i="10"/>
  <c r="Y8" i="10"/>
  <c r="Y9" i="10"/>
  <c r="Y10" i="10"/>
  <c r="Y11" i="10"/>
  <c r="Y12" i="10"/>
  <c r="Y13" i="10"/>
  <c r="Y14" i="10"/>
  <c r="Y18" i="10"/>
  <c r="Y19" i="10"/>
  <c r="Y20" i="10"/>
  <c r="Y21" i="10"/>
  <c r="Y22" i="10"/>
  <c r="Y24" i="10"/>
  <c r="Y25" i="10"/>
  <c r="Y3" i="10"/>
  <c r="X27" i="10"/>
  <c r="X29" i="10"/>
  <c r="AN34" i="10"/>
  <c r="AZ27" i="10"/>
  <c r="BA28" i="10"/>
  <c r="BA29" i="10"/>
  <c r="BA30" i="10"/>
  <c r="AW35" i="10"/>
  <c r="AW34" i="10"/>
  <c r="BA37" i="10"/>
  <c r="BB37" i="10"/>
  <c r="AZ37" i="10"/>
  <c r="AX37" i="10"/>
  <c r="AY37" i="10"/>
  <c r="AW37" i="10"/>
  <c r="BA36" i="10"/>
  <c r="BB36" i="10"/>
  <c r="AZ36" i="10"/>
  <c r="AX36" i="10"/>
  <c r="AY36" i="10"/>
  <c r="AW36" i="10"/>
  <c r="BA35" i="10"/>
  <c r="BB35" i="10"/>
  <c r="AZ35" i="10"/>
  <c r="AX35" i="10"/>
  <c r="AY35" i="10"/>
  <c r="BA34" i="10"/>
  <c r="BB34" i="10"/>
  <c r="AZ34" i="10"/>
  <c r="AX34" i="10"/>
  <c r="AY34" i="10"/>
  <c r="BA4" i="10"/>
  <c r="BA5" i="10"/>
  <c r="BA6" i="10"/>
  <c r="BA7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3" i="10"/>
  <c r="AQ29" i="10"/>
  <c r="AP28" i="10"/>
  <c r="AP27" i="10"/>
  <c r="AQ28" i="10"/>
  <c r="AR37" i="10"/>
  <c r="AQ37" i="10"/>
  <c r="AO37" i="10"/>
  <c r="AN37" i="10"/>
  <c r="AR36" i="10"/>
  <c r="AQ36" i="10"/>
  <c r="AO36" i="10"/>
  <c r="AN36" i="10"/>
  <c r="AR35" i="10"/>
  <c r="AQ35" i="10"/>
  <c r="AO35" i="10"/>
  <c r="AN35" i="10"/>
  <c r="AS35" i="10"/>
  <c r="AS36" i="10"/>
  <c r="AS37" i="10"/>
  <c r="AR34" i="10"/>
  <c r="AS34" i="10"/>
  <c r="AQ34" i="10"/>
  <c r="AP35" i="10"/>
  <c r="AP36" i="10"/>
  <c r="AP37" i="10"/>
  <c r="AO34" i="10"/>
  <c r="AP34" i="10"/>
  <c r="AQ4" i="10"/>
  <c r="AQ5" i="10"/>
  <c r="AQ6" i="10"/>
  <c r="AQ7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3" i="10"/>
  <c r="I27" i="10"/>
  <c r="H27" i="10"/>
  <c r="I12" i="10"/>
  <c r="I4" i="10"/>
  <c r="I5" i="10"/>
  <c r="I6" i="10"/>
  <c r="I7" i="10"/>
  <c r="I8" i="10"/>
  <c r="I9" i="10"/>
  <c r="I10" i="10"/>
  <c r="I11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3" i="10"/>
  <c r="AT67" i="2"/>
  <c r="AU67" i="2"/>
  <c r="AS67" i="2"/>
  <c r="AP62" i="2"/>
  <c r="AP63" i="2"/>
  <c r="AP64" i="2"/>
  <c r="AP65" i="2"/>
  <c r="AP66" i="2"/>
  <c r="AP61" i="2"/>
  <c r="AN62" i="2"/>
  <c r="AI67" i="2"/>
  <c r="AE67" i="2"/>
  <c r="AN63" i="2"/>
  <c r="AN64" i="2"/>
  <c r="AN65" i="2"/>
  <c r="AN66" i="2"/>
  <c r="AN61" i="2"/>
  <c r="AI35" i="2"/>
  <c r="AI38" i="2"/>
  <c r="AE39" i="2"/>
  <c r="AI39" i="2"/>
  <c r="AI40" i="2"/>
  <c r="AI41" i="2"/>
  <c r="AE42" i="2"/>
  <c r="AI42" i="2"/>
  <c r="AE43" i="2"/>
  <c r="AI43" i="2"/>
  <c r="AE44" i="2"/>
  <c r="AI44" i="2"/>
  <c r="AE45" i="2"/>
  <c r="AI45" i="2"/>
  <c r="AJ35" i="2"/>
  <c r="L35" i="9"/>
  <c r="H2" i="9"/>
  <c r="I41" i="8"/>
  <c r="I40" i="8"/>
  <c r="G19" i="8"/>
  <c r="G13" i="8"/>
  <c r="G23" i="8"/>
  <c r="D17" i="9"/>
  <c r="K43" i="9"/>
  <c r="K42" i="9"/>
  <c r="K41" i="9"/>
  <c r="J44" i="9"/>
  <c r="M36" i="9"/>
  <c r="M35" i="9"/>
  <c r="L37" i="9"/>
  <c r="L36" i="9"/>
  <c r="K31" i="9"/>
  <c r="K29" i="9"/>
  <c r="K28" i="9"/>
  <c r="J32" i="9"/>
  <c r="K24" i="9"/>
  <c r="K23" i="9"/>
  <c r="K22" i="9"/>
  <c r="K21" i="9"/>
  <c r="L18" i="9"/>
  <c r="L19" i="9"/>
  <c r="J25" i="9"/>
  <c r="H8" i="9"/>
  <c r="H7" i="9"/>
  <c r="H6" i="9"/>
  <c r="H5" i="9"/>
  <c r="H4" i="9"/>
  <c r="H3" i="9"/>
  <c r="E13" i="9"/>
  <c r="E12" i="9"/>
  <c r="E10" i="9"/>
  <c r="E11" i="9"/>
  <c r="E9" i="9"/>
  <c r="E8" i="9"/>
  <c r="E7" i="9"/>
  <c r="E6" i="9"/>
  <c r="E5" i="9"/>
  <c r="E3" i="9"/>
  <c r="D16" i="9"/>
  <c r="C15" i="9"/>
  <c r="D15" i="9"/>
  <c r="J36" i="8"/>
  <c r="J35" i="8"/>
  <c r="G31" i="8"/>
  <c r="G32" i="8"/>
  <c r="G33" i="8"/>
  <c r="G34" i="8"/>
  <c r="G35" i="8"/>
  <c r="G36" i="8"/>
  <c r="G39" i="8"/>
  <c r="G43" i="8"/>
  <c r="G40" i="8"/>
  <c r="G44" i="8"/>
  <c r="G37" i="8"/>
  <c r="G38" i="8"/>
  <c r="AJ38" i="2"/>
  <c r="AK38" i="2"/>
  <c r="AJ39" i="2"/>
  <c r="AK39" i="2"/>
  <c r="AJ40" i="2"/>
  <c r="AK40" i="2"/>
  <c r="AJ41" i="2"/>
  <c r="AK41" i="2"/>
  <c r="AJ42" i="2"/>
  <c r="AK42" i="2"/>
  <c r="AJ43" i="2"/>
  <c r="AK43" i="2"/>
  <c r="AJ44" i="2"/>
  <c r="AK44" i="2"/>
  <c r="AJ45" i="2"/>
  <c r="AK45" i="2"/>
  <c r="AK35" i="2"/>
  <c r="AF46" i="2"/>
  <c r="AG46" i="2"/>
  <c r="AE46" i="2"/>
  <c r="U29" i="2"/>
  <c r="Y29" i="2"/>
  <c r="M29" i="2"/>
  <c r="AB29" i="2"/>
  <c r="AC29" i="2"/>
  <c r="Y30" i="2"/>
  <c r="M30" i="2"/>
  <c r="AB30" i="2"/>
  <c r="AC30" i="2"/>
  <c r="Y31" i="2"/>
  <c r="M31" i="2"/>
  <c r="AB31" i="2"/>
  <c r="AC31" i="2"/>
  <c r="Y33" i="2"/>
  <c r="M33" i="2"/>
  <c r="AB33" i="2"/>
  <c r="AC33" i="2"/>
  <c r="Y34" i="2"/>
  <c r="M34" i="2"/>
  <c r="AB34" i="2"/>
  <c r="AC34" i="2"/>
  <c r="U35" i="2"/>
  <c r="Y35" i="2"/>
  <c r="M35" i="2"/>
  <c r="AB35" i="2"/>
  <c r="AC35" i="2"/>
  <c r="Y36" i="2"/>
  <c r="M36" i="2"/>
  <c r="AB36" i="2"/>
  <c r="AC36" i="2"/>
  <c r="Y37" i="2"/>
  <c r="M37" i="2"/>
  <c r="AB37" i="2"/>
  <c r="AC37" i="2"/>
  <c r="AH27" i="2"/>
  <c r="AI27" i="2"/>
  <c r="AJ27" i="2"/>
  <c r="AK27" i="2"/>
  <c r="AL27" i="2"/>
  <c r="U48" i="2"/>
  <c r="Y48" i="2"/>
  <c r="M48" i="2"/>
  <c r="AB48" i="2"/>
  <c r="AC48" i="2"/>
  <c r="Y49" i="2"/>
  <c r="M49" i="2"/>
  <c r="AB49" i="2"/>
  <c r="AC49" i="2"/>
  <c r="Y50" i="2"/>
  <c r="M50" i="2"/>
  <c r="AB50" i="2"/>
  <c r="AC50" i="2"/>
  <c r="U51" i="2"/>
  <c r="Y51" i="2"/>
  <c r="M51" i="2"/>
  <c r="AB51" i="2"/>
  <c r="AC51" i="2"/>
  <c r="U52" i="2"/>
  <c r="Y52" i="2"/>
  <c r="M52" i="2"/>
  <c r="AB52" i="2"/>
  <c r="AC52" i="2"/>
  <c r="U53" i="2"/>
  <c r="Y53" i="2"/>
  <c r="M53" i="2"/>
  <c r="AB53" i="2"/>
  <c r="AC53" i="2"/>
  <c r="U54" i="2"/>
  <c r="Y54" i="2"/>
  <c r="M54" i="2"/>
  <c r="AB54" i="2"/>
  <c r="AC54" i="2"/>
  <c r="AH28" i="2"/>
  <c r="AI28" i="2"/>
  <c r="AJ28" i="2"/>
  <c r="AK28" i="2"/>
  <c r="AL28" i="2"/>
  <c r="U66" i="2"/>
  <c r="Y66" i="2"/>
  <c r="M66" i="2"/>
  <c r="AB66" i="2"/>
  <c r="AC66" i="2"/>
  <c r="Y70" i="2"/>
  <c r="M70" i="2"/>
  <c r="AB70" i="2"/>
  <c r="AC70" i="2"/>
  <c r="Y71" i="2"/>
  <c r="J71" i="2"/>
  <c r="M71" i="2"/>
  <c r="AB71" i="2"/>
  <c r="AC71" i="2"/>
  <c r="Y72" i="2"/>
  <c r="J72" i="2"/>
  <c r="M72" i="2"/>
  <c r="AB72" i="2"/>
  <c r="AC72" i="2"/>
  <c r="U73" i="2"/>
  <c r="Y73" i="2"/>
  <c r="M73" i="2"/>
  <c r="AB73" i="2"/>
  <c r="AC73" i="2"/>
  <c r="AH29" i="2"/>
  <c r="AI29" i="2"/>
  <c r="AJ29" i="2"/>
  <c r="AK29" i="2"/>
  <c r="AL29" i="2"/>
  <c r="Y84" i="2"/>
  <c r="M84" i="2"/>
  <c r="AB84" i="2"/>
  <c r="AC84" i="2"/>
  <c r="U87" i="2"/>
  <c r="Y87" i="2"/>
  <c r="M87" i="2"/>
  <c r="AB87" i="2"/>
  <c r="AC87" i="2"/>
  <c r="Y88" i="2"/>
  <c r="M88" i="2"/>
  <c r="AB88" i="2"/>
  <c r="AC88" i="2"/>
  <c r="Y90" i="2"/>
  <c r="M90" i="2"/>
  <c r="AB90" i="2"/>
  <c r="AC90" i="2"/>
  <c r="AH30" i="2"/>
  <c r="AI30" i="2"/>
  <c r="AJ30" i="2"/>
  <c r="AK30" i="2"/>
  <c r="AL30" i="2"/>
  <c r="Y14" i="2"/>
  <c r="M14" i="2"/>
  <c r="AB14" i="2"/>
  <c r="AC14" i="2"/>
  <c r="U16" i="2"/>
  <c r="Y16" i="2"/>
  <c r="M16" i="2"/>
  <c r="AB16" i="2"/>
  <c r="AC16" i="2"/>
  <c r="Y17" i="2"/>
  <c r="M17" i="2"/>
  <c r="AB17" i="2"/>
  <c r="AC17" i="2"/>
  <c r="U18" i="2"/>
  <c r="Y18" i="2"/>
  <c r="M18" i="2"/>
  <c r="AB18" i="2"/>
  <c r="AC18" i="2"/>
  <c r="Y19" i="2"/>
  <c r="M19" i="2"/>
  <c r="AB19" i="2"/>
  <c r="AC19" i="2"/>
  <c r="AH26" i="2"/>
  <c r="AI26" i="2"/>
  <c r="AJ26" i="2"/>
  <c r="AK26" i="2"/>
  <c r="AL26" i="2"/>
  <c r="AC4" i="2"/>
  <c r="AC5" i="2"/>
  <c r="AC6" i="2"/>
  <c r="AC7" i="2"/>
  <c r="AC8" i="2"/>
  <c r="AC9" i="2"/>
  <c r="AC10" i="2"/>
  <c r="AC11" i="2"/>
  <c r="AC12" i="2"/>
  <c r="AH19" i="2"/>
  <c r="AI19" i="2"/>
  <c r="AJ19" i="2"/>
  <c r="AK19" i="2"/>
  <c r="AL19" i="2"/>
  <c r="Y21" i="2"/>
  <c r="M21" i="2"/>
  <c r="AB21" i="2"/>
  <c r="AC21" i="2"/>
  <c r="U22" i="2"/>
  <c r="Y22" i="2"/>
  <c r="M22" i="2"/>
  <c r="AB22" i="2"/>
  <c r="AC22" i="2"/>
  <c r="Y23" i="2"/>
  <c r="M23" i="2"/>
  <c r="AB23" i="2"/>
  <c r="AC23" i="2"/>
  <c r="Y24" i="2"/>
  <c r="M24" i="2"/>
  <c r="AB24" i="2"/>
  <c r="AC24" i="2"/>
  <c r="Y25" i="2"/>
  <c r="M25" i="2"/>
  <c r="AB25" i="2"/>
  <c r="AC25" i="2"/>
  <c r="U26" i="2"/>
  <c r="Y26" i="2"/>
  <c r="M26" i="2"/>
  <c r="AB26" i="2"/>
  <c r="AC26" i="2"/>
  <c r="U27" i="2"/>
  <c r="Y27" i="2"/>
  <c r="M27" i="2"/>
  <c r="AB27" i="2"/>
  <c r="AC27" i="2"/>
  <c r="Y28" i="2"/>
  <c r="M28" i="2"/>
  <c r="AB28" i="2"/>
  <c r="AC28" i="2"/>
  <c r="AH20" i="2"/>
  <c r="AI20" i="2"/>
  <c r="AJ20" i="2"/>
  <c r="AK20" i="2"/>
  <c r="AL20" i="2"/>
  <c r="Y38" i="2"/>
  <c r="M38" i="2"/>
  <c r="AB38" i="2"/>
  <c r="AC38" i="2"/>
  <c r="U39" i="2"/>
  <c r="Y39" i="2"/>
  <c r="M39" i="2"/>
  <c r="AB39" i="2"/>
  <c r="AC39" i="2"/>
  <c r="Y40" i="2"/>
  <c r="M40" i="2"/>
  <c r="AB40" i="2"/>
  <c r="AC40" i="2"/>
  <c r="Y41" i="2"/>
  <c r="M41" i="2"/>
  <c r="AB41" i="2"/>
  <c r="AC41" i="2"/>
  <c r="U42" i="2"/>
  <c r="Y42" i="2"/>
  <c r="M42" i="2"/>
  <c r="AB42" i="2"/>
  <c r="AC42" i="2"/>
  <c r="U43" i="2"/>
  <c r="Y43" i="2"/>
  <c r="M43" i="2"/>
  <c r="AB43" i="2"/>
  <c r="AC43" i="2"/>
  <c r="U45" i="2"/>
  <c r="Y45" i="2"/>
  <c r="M45" i="2"/>
  <c r="AB45" i="2"/>
  <c r="AC45" i="2"/>
  <c r="U46" i="2"/>
  <c r="Y46" i="2"/>
  <c r="M46" i="2"/>
  <c r="AB46" i="2"/>
  <c r="AC46" i="2"/>
  <c r="AH21" i="2"/>
  <c r="AI21" i="2"/>
  <c r="AJ21" i="2"/>
  <c r="AK21" i="2"/>
  <c r="AL21" i="2"/>
  <c r="AL22" i="2"/>
  <c r="U74" i="2"/>
  <c r="Y74" i="2"/>
  <c r="M74" i="2"/>
  <c r="AB74" i="2"/>
  <c r="AC74" i="2"/>
  <c r="Y75" i="2"/>
  <c r="M75" i="2"/>
  <c r="AB75" i="2"/>
  <c r="AC75" i="2"/>
  <c r="U76" i="2"/>
  <c r="Y76" i="2"/>
  <c r="M76" i="2"/>
  <c r="AB76" i="2"/>
  <c r="AC76" i="2"/>
  <c r="Y77" i="2"/>
  <c r="M77" i="2"/>
  <c r="AB77" i="2"/>
  <c r="AC77" i="2"/>
  <c r="U78" i="2"/>
  <c r="Y78" i="2"/>
  <c r="M78" i="2"/>
  <c r="AB78" i="2"/>
  <c r="AC78" i="2"/>
  <c r="AH23" i="2"/>
  <c r="AI23" i="2"/>
  <c r="AJ23" i="2"/>
  <c r="AK23" i="2"/>
  <c r="AL23" i="2"/>
  <c r="U56" i="2"/>
  <c r="Y56" i="2"/>
  <c r="M56" i="2"/>
  <c r="AB56" i="2"/>
  <c r="AC56" i="2"/>
  <c r="U58" i="2"/>
  <c r="Y58" i="2"/>
  <c r="M58" i="2"/>
  <c r="AB58" i="2"/>
  <c r="AC58" i="2"/>
  <c r="AH22" i="2"/>
  <c r="AK22" i="2"/>
  <c r="AI22" i="2"/>
  <c r="AJ22" i="2"/>
  <c r="AN15" i="2"/>
  <c r="AN16" i="2"/>
  <c r="AN14" i="2"/>
  <c r="AM15" i="2"/>
  <c r="AM16" i="2"/>
  <c r="AM14" i="2"/>
  <c r="M11" i="2"/>
  <c r="J10" i="2"/>
  <c r="K73" i="2"/>
  <c r="K75" i="2"/>
  <c r="K10" i="2"/>
  <c r="L10" i="2"/>
  <c r="AL15" i="2"/>
  <c r="AL16" i="2"/>
  <c r="AL14" i="2"/>
  <c r="AK15" i="2"/>
  <c r="AK16" i="2"/>
  <c r="AK14" i="2"/>
  <c r="AJ15" i="2"/>
  <c r="AJ16" i="2"/>
  <c r="AJ14" i="2"/>
  <c r="AI15" i="2"/>
  <c r="AI16" i="2"/>
  <c r="AI14" i="2"/>
  <c r="M55" i="2"/>
  <c r="M13" i="2"/>
  <c r="M10" i="2"/>
  <c r="U79" i="2"/>
  <c r="Y79" i="2"/>
  <c r="U80" i="2"/>
  <c r="Y80" i="2"/>
  <c r="U81" i="2"/>
  <c r="Y81" i="2"/>
  <c r="U82" i="2"/>
  <c r="Y82" i="2"/>
  <c r="Y83" i="2"/>
  <c r="Y85" i="2"/>
  <c r="U86" i="2"/>
  <c r="Y86" i="2"/>
  <c r="U89" i="2"/>
  <c r="Y89" i="2"/>
  <c r="U91" i="2"/>
  <c r="Y91" i="2"/>
  <c r="V2" i="2"/>
  <c r="V5" i="2"/>
  <c r="V92" i="2"/>
  <c r="H92" i="2"/>
  <c r="G8" i="2"/>
  <c r="G15" i="2"/>
  <c r="G16" i="2"/>
  <c r="G18" i="2"/>
  <c r="G21" i="2"/>
  <c r="G22" i="2"/>
  <c r="G23" i="2"/>
  <c r="G25" i="2"/>
  <c r="G26" i="2"/>
  <c r="G27" i="2"/>
  <c r="G28" i="2"/>
  <c r="G29" i="2"/>
  <c r="G38" i="2"/>
  <c r="G39" i="2"/>
  <c r="G40" i="2"/>
  <c r="G41" i="2"/>
  <c r="G42" i="2"/>
  <c r="G46" i="2"/>
  <c r="G47" i="2"/>
  <c r="G51" i="2"/>
  <c r="G52" i="2"/>
  <c r="G55" i="2"/>
  <c r="G57" i="2"/>
  <c r="G59" i="2"/>
  <c r="G60" i="2"/>
  <c r="G61" i="2"/>
  <c r="G62" i="2"/>
  <c r="G64" i="2"/>
  <c r="G66" i="2"/>
  <c r="G68" i="2"/>
  <c r="G69" i="2"/>
  <c r="G72" i="2"/>
  <c r="G84" i="2"/>
  <c r="G85" i="2"/>
  <c r="G86" i="2"/>
  <c r="G88" i="2"/>
  <c r="G89" i="2"/>
  <c r="G91" i="2"/>
  <c r="G92" i="2"/>
  <c r="Y10" i="2"/>
  <c r="Y9" i="2"/>
  <c r="I48" i="2"/>
  <c r="I60" i="2"/>
  <c r="I92" i="2"/>
  <c r="AH15" i="2"/>
  <c r="AH16" i="2"/>
  <c r="AH14" i="2"/>
  <c r="Y3" i="2"/>
  <c r="U4" i="2"/>
  <c r="Y4" i="2"/>
  <c r="U5" i="2"/>
  <c r="Y5" i="2"/>
  <c r="Y6" i="2"/>
  <c r="Y7" i="2"/>
  <c r="U8" i="2"/>
  <c r="Y8" i="2"/>
  <c r="AE15" i="2"/>
  <c r="AE16" i="2"/>
  <c r="AG15" i="2"/>
  <c r="AG16" i="2"/>
  <c r="AG14" i="2"/>
  <c r="AF15" i="2"/>
  <c r="AF16" i="2"/>
  <c r="AF14" i="2"/>
  <c r="Q2" i="5"/>
  <c r="U6" i="5"/>
  <c r="Y2" i="6"/>
  <c r="E39" i="9"/>
  <c r="E38" i="9"/>
  <c r="E37" i="9"/>
  <c r="E36" i="9"/>
  <c r="C39" i="9"/>
  <c r="C37" i="9"/>
  <c r="C36" i="9"/>
  <c r="C35" i="9"/>
  <c r="B28" i="8"/>
  <c r="B30" i="8"/>
  <c r="B31" i="8"/>
  <c r="E31" i="9"/>
  <c r="F29" i="8"/>
  <c r="E26" i="9"/>
  <c r="E25" i="9"/>
  <c r="E24" i="9"/>
  <c r="E23" i="9"/>
  <c r="E22" i="9"/>
  <c r="G11" i="8"/>
  <c r="F20" i="9"/>
  <c r="F19" i="9"/>
  <c r="B2" i="9"/>
  <c r="B4" i="9"/>
  <c r="B5" i="9"/>
  <c r="B6" i="9"/>
  <c r="B7" i="9"/>
  <c r="B10" i="9"/>
  <c r="B32" i="8"/>
  <c r="G18" i="8"/>
  <c r="G17" i="8"/>
  <c r="G16" i="8"/>
  <c r="G15" i="8"/>
  <c r="G14" i="8"/>
  <c r="G12" i="8"/>
  <c r="C6" i="8"/>
  <c r="C17" i="8"/>
  <c r="C8" i="8"/>
  <c r="C10" i="8"/>
  <c r="C15" i="8"/>
  <c r="C2" i="8"/>
  <c r="C3" i="8"/>
  <c r="C4" i="8"/>
  <c r="C5" i="8"/>
  <c r="C7" i="8"/>
  <c r="C9" i="8"/>
  <c r="C11" i="8"/>
  <c r="C12" i="8"/>
  <c r="C13" i="8"/>
  <c r="C14" i="8"/>
  <c r="C16" i="8"/>
  <c r="D18" i="8"/>
  <c r="G29" i="8"/>
  <c r="G28" i="8"/>
  <c r="G27" i="8"/>
  <c r="G26" i="8"/>
  <c r="G25" i="8"/>
  <c r="G24" i="8"/>
  <c r="G22" i="8"/>
  <c r="G21" i="8"/>
  <c r="G20" i="8"/>
  <c r="C24" i="8"/>
  <c r="C20" i="8"/>
  <c r="C19" i="8"/>
  <c r="C21" i="8"/>
  <c r="C18" i="8"/>
  <c r="C23" i="8"/>
  <c r="C26" i="8"/>
  <c r="C22" i="8"/>
  <c r="C25" i="8"/>
  <c r="C27" i="8"/>
  <c r="Z2" i="7"/>
  <c r="H2" i="6"/>
  <c r="M2" i="6"/>
  <c r="H3" i="6"/>
  <c r="M3" i="6"/>
  <c r="P3" i="6"/>
  <c r="U9" i="2"/>
  <c r="U10" i="2"/>
  <c r="U15" i="2"/>
  <c r="U44" i="2"/>
  <c r="U47" i="2"/>
  <c r="U55" i="2"/>
  <c r="U57" i="2"/>
  <c r="U61" i="2"/>
  <c r="U62" i="2"/>
  <c r="U63" i="2"/>
  <c r="U64" i="2"/>
  <c r="U65" i="2"/>
  <c r="U67" i="2"/>
  <c r="U68" i="2"/>
  <c r="U92" i="2"/>
  <c r="Y92" i="2"/>
  <c r="V20" i="6"/>
  <c r="T27" i="6"/>
  <c r="V21" i="6"/>
  <c r="T28" i="6"/>
  <c r="V22" i="6"/>
  <c r="T29" i="6"/>
  <c r="V23" i="6"/>
  <c r="T30" i="6"/>
  <c r="V19" i="6"/>
  <c r="T26" i="6"/>
  <c r="S27" i="6"/>
  <c r="S28" i="6"/>
  <c r="S29" i="6"/>
  <c r="S30" i="6"/>
  <c r="S26" i="6"/>
  <c r="H61" i="6"/>
  <c r="M61" i="6"/>
  <c r="O61" i="6"/>
  <c r="H62" i="6"/>
  <c r="M62" i="6"/>
  <c r="O62" i="6"/>
  <c r="H63" i="6"/>
  <c r="M63" i="6"/>
  <c r="O63" i="6"/>
  <c r="H64" i="6"/>
  <c r="M64" i="6"/>
  <c r="O64" i="6"/>
  <c r="H65" i="6"/>
  <c r="M65" i="6"/>
  <c r="O65" i="6"/>
  <c r="H66" i="6"/>
  <c r="M66" i="6"/>
  <c r="O66" i="6"/>
  <c r="H67" i="6"/>
  <c r="M67" i="6"/>
  <c r="O67" i="6"/>
  <c r="H68" i="6"/>
  <c r="M68" i="6"/>
  <c r="O68" i="6"/>
  <c r="H69" i="6"/>
  <c r="M69" i="6"/>
  <c r="O69" i="6"/>
  <c r="H70" i="6"/>
  <c r="M70" i="6"/>
  <c r="O70" i="6"/>
  <c r="H71" i="6"/>
  <c r="M71" i="6"/>
  <c r="O71" i="6"/>
  <c r="H72" i="6"/>
  <c r="M72" i="6"/>
  <c r="O72" i="6"/>
  <c r="H73" i="6"/>
  <c r="M73" i="6"/>
  <c r="O73" i="6"/>
  <c r="H74" i="6"/>
  <c r="M74" i="6"/>
  <c r="O74" i="6"/>
  <c r="H75" i="6"/>
  <c r="M75" i="6"/>
  <c r="O75" i="6"/>
  <c r="H76" i="6"/>
  <c r="M76" i="6"/>
  <c r="O76" i="6"/>
  <c r="H77" i="6"/>
  <c r="M77" i="6"/>
  <c r="O77" i="6"/>
  <c r="H78" i="6"/>
  <c r="M78" i="6"/>
  <c r="O78" i="6"/>
  <c r="T23" i="6"/>
  <c r="H44" i="6"/>
  <c r="M44" i="6"/>
  <c r="O44" i="6"/>
  <c r="H45" i="6"/>
  <c r="M45" i="6"/>
  <c r="O45" i="6"/>
  <c r="H46" i="6"/>
  <c r="M46" i="6"/>
  <c r="O46" i="6"/>
  <c r="H47" i="6"/>
  <c r="M47" i="6"/>
  <c r="O47" i="6"/>
  <c r="H48" i="6"/>
  <c r="M48" i="6"/>
  <c r="O48" i="6"/>
  <c r="H49" i="6"/>
  <c r="M49" i="6"/>
  <c r="O49" i="6"/>
  <c r="H50" i="6"/>
  <c r="M50" i="6"/>
  <c r="O50" i="6"/>
  <c r="H51" i="6"/>
  <c r="M51" i="6"/>
  <c r="O51" i="6"/>
  <c r="H52" i="6"/>
  <c r="M52" i="6"/>
  <c r="O52" i="6"/>
  <c r="H53" i="6"/>
  <c r="M53" i="6"/>
  <c r="O53" i="6"/>
  <c r="H54" i="6"/>
  <c r="M54" i="6"/>
  <c r="O54" i="6"/>
  <c r="H55" i="6"/>
  <c r="M55" i="6"/>
  <c r="O55" i="6"/>
  <c r="H56" i="6"/>
  <c r="M56" i="6"/>
  <c r="O56" i="6"/>
  <c r="H57" i="6"/>
  <c r="M57" i="6"/>
  <c r="O57" i="6"/>
  <c r="H58" i="6"/>
  <c r="M58" i="6"/>
  <c r="O58" i="6"/>
  <c r="H59" i="6"/>
  <c r="M59" i="6"/>
  <c r="O59" i="6"/>
  <c r="H60" i="6"/>
  <c r="M60" i="6"/>
  <c r="O60" i="6"/>
  <c r="T22" i="6"/>
  <c r="H27" i="6"/>
  <c r="M27" i="6"/>
  <c r="O27" i="6"/>
  <c r="H28" i="6"/>
  <c r="M28" i="6"/>
  <c r="O28" i="6"/>
  <c r="H29" i="6"/>
  <c r="M29" i="6"/>
  <c r="O29" i="6"/>
  <c r="H30" i="6"/>
  <c r="M30" i="6"/>
  <c r="O30" i="6"/>
  <c r="H31" i="6"/>
  <c r="M31" i="6"/>
  <c r="O31" i="6"/>
  <c r="H32" i="6"/>
  <c r="M32" i="6"/>
  <c r="O32" i="6"/>
  <c r="H33" i="6"/>
  <c r="M33" i="6"/>
  <c r="O33" i="6"/>
  <c r="H34" i="6"/>
  <c r="M34" i="6"/>
  <c r="O34" i="6"/>
  <c r="H35" i="6"/>
  <c r="M35" i="6"/>
  <c r="O35" i="6"/>
  <c r="H36" i="6"/>
  <c r="M36" i="6"/>
  <c r="O36" i="6"/>
  <c r="H37" i="6"/>
  <c r="M37" i="6"/>
  <c r="O37" i="6"/>
  <c r="H38" i="6"/>
  <c r="M38" i="6"/>
  <c r="O38" i="6"/>
  <c r="H39" i="6"/>
  <c r="M39" i="6"/>
  <c r="O39" i="6"/>
  <c r="H40" i="6"/>
  <c r="M40" i="6"/>
  <c r="O40" i="6"/>
  <c r="H41" i="6"/>
  <c r="M41" i="6"/>
  <c r="O41" i="6"/>
  <c r="H42" i="6"/>
  <c r="M42" i="6"/>
  <c r="O42" i="6"/>
  <c r="H43" i="6"/>
  <c r="M43" i="6"/>
  <c r="O43" i="6"/>
  <c r="T21" i="6"/>
  <c r="H10" i="6"/>
  <c r="M10" i="6"/>
  <c r="O10" i="6"/>
  <c r="H11" i="6"/>
  <c r="M11" i="6"/>
  <c r="O11" i="6"/>
  <c r="H12" i="6"/>
  <c r="M12" i="6"/>
  <c r="O12" i="6"/>
  <c r="H13" i="6"/>
  <c r="M13" i="6"/>
  <c r="O13" i="6"/>
  <c r="H14" i="6"/>
  <c r="M14" i="6"/>
  <c r="O14" i="6"/>
  <c r="H15" i="6"/>
  <c r="M15" i="6"/>
  <c r="O15" i="6"/>
  <c r="H16" i="6"/>
  <c r="M16" i="6"/>
  <c r="O16" i="6"/>
  <c r="H17" i="6"/>
  <c r="M17" i="6"/>
  <c r="O17" i="6"/>
  <c r="H18" i="6"/>
  <c r="M18" i="6"/>
  <c r="O18" i="6"/>
  <c r="H19" i="6"/>
  <c r="M19" i="6"/>
  <c r="O19" i="6"/>
  <c r="H20" i="6"/>
  <c r="M20" i="6"/>
  <c r="O20" i="6"/>
  <c r="H21" i="6"/>
  <c r="M21" i="6"/>
  <c r="O21" i="6"/>
  <c r="H22" i="6"/>
  <c r="M22" i="6"/>
  <c r="O22" i="6"/>
  <c r="H23" i="6"/>
  <c r="M23" i="6"/>
  <c r="O23" i="6"/>
  <c r="H24" i="6"/>
  <c r="M24" i="6"/>
  <c r="O24" i="6"/>
  <c r="H25" i="6"/>
  <c r="M25" i="6"/>
  <c r="O25" i="6"/>
  <c r="H26" i="6"/>
  <c r="M26" i="6"/>
  <c r="O26" i="6"/>
  <c r="T20" i="6"/>
  <c r="O2" i="6"/>
  <c r="O3" i="6"/>
  <c r="H4" i="6"/>
  <c r="M4" i="6"/>
  <c r="O4" i="6"/>
  <c r="H5" i="6"/>
  <c r="M5" i="6"/>
  <c r="O5" i="6"/>
  <c r="H6" i="6"/>
  <c r="M6" i="6"/>
  <c r="O6" i="6"/>
  <c r="H7" i="6"/>
  <c r="M7" i="6"/>
  <c r="O7" i="6"/>
  <c r="H8" i="6"/>
  <c r="M8" i="6"/>
  <c r="O8" i="6"/>
  <c r="H9" i="6"/>
  <c r="M9" i="6"/>
  <c r="O9" i="6"/>
  <c r="T19" i="6"/>
  <c r="S23" i="6"/>
  <c r="S22" i="6"/>
  <c r="S21" i="6"/>
  <c r="S20" i="6"/>
  <c r="S19" i="6"/>
  <c r="U18" i="7"/>
  <c r="U17" i="7"/>
  <c r="T18" i="7"/>
  <c r="T17" i="7"/>
  <c r="U16" i="7"/>
  <c r="U15" i="7"/>
  <c r="T16" i="7"/>
  <c r="T15" i="7"/>
  <c r="H3" i="4"/>
  <c r="L3" i="4"/>
  <c r="M3" i="4"/>
  <c r="P3" i="4"/>
  <c r="R3" i="4"/>
  <c r="S3" i="4"/>
  <c r="H4" i="4"/>
  <c r="L4" i="4"/>
  <c r="M4" i="4"/>
  <c r="P4" i="4"/>
  <c r="R4" i="4"/>
  <c r="S4" i="4"/>
  <c r="H5" i="4"/>
  <c r="L5" i="4"/>
  <c r="M5" i="4"/>
  <c r="P5" i="4"/>
  <c r="R5" i="4"/>
  <c r="S5" i="4"/>
  <c r="H6" i="4"/>
  <c r="L6" i="4"/>
  <c r="M6" i="4"/>
  <c r="P6" i="4"/>
  <c r="R6" i="4"/>
  <c r="S6" i="4"/>
  <c r="H7" i="4"/>
  <c r="L7" i="4"/>
  <c r="M7" i="4"/>
  <c r="P7" i="4"/>
  <c r="R7" i="4"/>
  <c r="S7" i="4"/>
  <c r="H8" i="4"/>
  <c r="L8" i="4"/>
  <c r="M8" i="4"/>
  <c r="P8" i="4"/>
  <c r="R8" i="4"/>
  <c r="S8" i="4"/>
  <c r="H9" i="4"/>
  <c r="L9" i="4"/>
  <c r="M9" i="4"/>
  <c r="P9" i="4"/>
  <c r="R9" i="4"/>
  <c r="S9" i="4"/>
  <c r="H10" i="4"/>
  <c r="L10" i="4"/>
  <c r="M10" i="4"/>
  <c r="P10" i="4"/>
  <c r="R10" i="4"/>
  <c r="S10" i="4"/>
  <c r="H11" i="4"/>
  <c r="L11" i="4"/>
  <c r="M11" i="4"/>
  <c r="P11" i="4"/>
  <c r="R11" i="4"/>
  <c r="S11" i="4"/>
  <c r="H12" i="4"/>
  <c r="L12" i="4"/>
  <c r="M12" i="4"/>
  <c r="P12" i="4"/>
  <c r="R12" i="4"/>
  <c r="S12" i="4"/>
  <c r="H13" i="4"/>
  <c r="L13" i="4"/>
  <c r="M13" i="4"/>
  <c r="P13" i="4"/>
  <c r="R13" i="4"/>
  <c r="S13" i="4"/>
  <c r="H14" i="4"/>
  <c r="L14" i="4"/>
  <c r="M14" i="4"/>
  <c r="P14" i="4"/>
  <c r="R14" i="4"/>
  <c r="S14" i="4"/>
  <c r="H15" i="4"/>
  <c r="L15" i="4"/>
  <c r="M15" i="4"/>
  <c r="P15" i="4"/>
  <c r="R15" i="4"/>
  <c r="S15" i="4"/>
  <c r="H16" i="4"/>
  <c r="L16" i="4"/>
  <c r="M16" i="4"/>
  <c r="P16" i="4"/>
  <c r="R16" i="4"/>
  <c r="S16" i="4"/>
  <c r="H17" i="4"/>
  <c r="L17" i="4"/>
  <c r="M17" i="4"/>
  <c r="P17" i="4"/>
  <c r="R17" i="4"/>
  <c r="S17" i="4"/>
  <c r="H18" i="4"/>
  <c r="L18" i="4"/>
  <c r="M18" i="4"/>
  <c r="P18" i="4"/>
  <c r="R18" i="4"/>
  <c r="S18" i="4"/>
  <c r="H19" i="4"/>
  <c r="L19" i="4"/>
  <c r="M19" i="4"/>
  <c r="P19" i="4"/>
  <c r="R19" i="4"/>
  <c r="S19" i="4"/>
  <c r="H20" i="4"/>
  <c r="L20" i="4"/>
  <c r="M20" i="4"/>
  <c r="P20" i="4"/>
  <c r="R20" i="4"/>
  <c r="S20" i="4"/>
  <c r="H21" i="4"/>
  <c r="L21" i="4"/>
  <c r="M21" i="4"/>
  <c r="P21" i="4"/>
  <c r="R21" i="4"/>
  <c r="S21" i="4"/>
  <c r="H22" i="4"/>
  <c r="L22" i="4"/>
  <c r="M22" i="4"/>
  <c r="P22" i="4"/>
  <c r="R22" i="4"/>
  <c r="S22" i="4"/>
  <c r="H23" i="4"/>
  <c r="L23" i="4"/>
  <c r="M23" i="4"/>
  <c r="P23" i="4"/>
  <c r="R23" i="4"/>
  <c r="S23" i="4"/>
  <c r="H24" i="4"/>
  <c r="L24" i="4"/>
  <c r="M24" i="4"/>
  <c r="P24" i="4"/>
  <c r="R24" i="4"/>
  <c r="S24" i="4"/>
  <c r="H25" i="4"/>
  <c r="L25" i="4"/>
  <c r="M25" i="4"/>
  <c r="P25" i="4"/>
  <c r="R25" i="4"/>
  <c r="S25" i="4"/>
  <c r="H26" i="4"/>
  <c r="L26" i="4"/>
  <c r="M26" i="4"/>
  <c r="P26" i="4"/>
  <c r="R26" i="4"/>
  <c r="S26" i="4"/>
  <c r="H27" i="4"/>
  <c r="L27" i="4"/>
  <c r="M27" i="4"/>
  <c r="P27" i="4"/>
  <c r="R27" i="4"/>
  <c r="S27" i="4"/>
  <c r="H28" i="4"/>
  <c r="L28" i="4"/>
  <c r="M28" i="4"/>
  <c r="P28" i="4"/>
  <c r="R28" i="4"/>
  <c r="S28" i="4"/>
  <c r="H29" i="4"/>
  <c r="L29" i="4"/>
  <c r="M29" i="4"/>
  <c r="P29" i="4"/>
  <c r="R29" i="4"/>
  <c r="S29" i="4"/>
  <c r="H30" i="4"/>
  <c r="L30" i="4"/>
  <c r="M30" i="4"/>
  <c r="P30" i="4"/>
  <c r="R30" i="4"/>
  <c r="S30" i="4"/>
  <c r="H31" i="4"/>
  <c r="L31" i="4"/>
  <c r="M31" i="4"/>
  <c r="P31" i="4"/>
  <c r="R31" i="4"/>
  <c r="S31" i="4"/>
  <c r="H32" i="4"/>
  <c r="L32" i="4"/>
  <c r="M32" i="4"/>
  <c r="P32" i="4"/>
  <c r="R32" i="4"/>
  <c r="S32" i="4"/>
  <c r="H33" i="4"/>
  <c r="L33" i="4"/>
  <c r="M33" i="4"/>
  <c r="P33" i="4"/>
  <c r="R33" i="4"/>
  <c r="S33" i="4"/>
  <c r="H34" i="4"/>
  <c r="L34" i="4"/>
  <c r="M34" i="4"/>
  <c r="P34" i="4"/>
  <c r="R34" i="4"/>
  <c r="S34" i="4"/>
  <c r="H35" i="4"/>
  <c r="L35" i="4"/>
  <c r="M35" i="4"/>
  <c r="P35" i="4"/>
  <c r="R35" i="4"/>
  <c r="S35" i="4"/>
  <c r="H36" i="4"/>
  <c r="L36" i="4"/>
  <c r="M36" i="4"/>
  <c r="P36" i="4"/>
  <c r="R36" i="4"/>
  <c r="S36" i="4"/>
  <c r="H37" i="4"/>
  <c r="L37" i="4"/>
  <c r="M37" i="4"/>
  <c r="P37" i="4"/>
  <c r="R37" i="4"/>
  <c r="S37" i="4"/>
  <c r="H38" i="4"/>
  <c r="L38" i="4"/>
  <c r="M38" i="4"/>
  <c r="P38" i="4"/>
  <c r="R38" i="4"/>
  <c r="S38" i="4"/>
  <c r="H39" i="4"/>
  <c r="L39" i="4"/>
  <c r="M39" i="4"/>
  <c r="P39" i="4"/>
  <c r="R39" i="4"/>
  <c r="S39" i="4"/>
  <c r="H40" i="4"/>
  <c r="L40" i="4"/>
  <c r="M40" i="4"/>
  <c r="P40" i="4"/>
  <c r="R40" i="4"/>
  <c r="S40" i="4"/>
  <c r="H41" i="4"/>
  <c r="L41" i="4"/>
  <c r="M41" i="4"/>
  <c r="P41" i="4"/>
  <c r="R41" i="4"/>
  <c r="S41" i="4"/>
  <c r="H42" i="4"/>
  <c r="L42" i="4"/>
  <c r="M42" i="4"/>
  <c r="P42" i="4"/>
  <c r="R42" i="4"/>
  <c r="S42" i="4"/>
  <c r="K43" i="4"/>
  <c r="H43" i="4"/>
  <c r="L43" i="4"/>
  <c r="M43" i="4"/>
  <c r="P43" i="4"/>
  <c r="R43" i="4"/>
  <c r="S43" i="4"/>
  <c r="H44" i="4"/>
  <c r="L44" i="4"/>
  <c r="M44" i="4"/>
  <c r="P44" i="4"/>
  <c r="R44" i="4"/>
  <c r="S44" i="4"/>
  <c r="H45" i="4"/>
  <c r="L45" i="4"/>
  <c r="M45" i="4"/>
  <c r="P45" i="4"/>
  <c r="R45" i="4"/>
  <c r="S45" i="4"/>
  <c r="H46" i="4"/>
  <c r="L46" i="4"/>
  <c r="M46" i="4"/>
  <c r="P46" i="4"/>
  <c r="R46" i="4"/>
  <c r="S46" i="4"/>
  <c r="H47" i="4"/>
  <c r="L47" i="4"/>
  <c r="M47" i="4"/>
  <c r="P47" i="4"/>
  <c r="R47" i="4"/>
  <c r="S47" i="4"/>
  <c r="H48" i="4"/>
  <c r="L48" i="4"/>
  <c r="M48" i="4"/>
  <c r="P48" i="4"/>
  <c r="R48" i="4"/>
  <c r="S48" i="4"/>
  <c r="H49" i="4"/>
  <c r="L49" i="4"/>
  <c r="M49" i="4"/>
  <c r="P49" i="4"/>
  <c r="R49" i="4"/>
  <c r="S49" i="4"/>
  <c r="H50" i="4"/>
  <c r="L50" i="4"/>
  <c r="M50" i="4"/>
  <c r="P50" i="4"/>
  <c r="R50" i="4"/>
  <c r="S50" i="4"/>
  <c r="H51" i="4"/>
  <c r="L51" i="4"/>
  <c r="M51" i="4"/>
  <c r="P51" i="4"/>
  <c r="R51" i="4"/>
  <c r="S51" i="4"/>
  <c r="H52" i="4"/>
  <c r="L52" i="4"/>
  <c r="M52" i="4"/>
  <c r="P52" i="4"/>
  <c r="R52" i="4"/>
  <c r="S52" i="4"/>
  <c r="H53" i="4"/>
  <c r="L53" i="4"/>
  <c r="M53" i="4"/>
  <c r="P53" i="4"/>
  <c r="R53" i="4"/>
  <c r="S53" i="4"/>
  <c r="H54" i="4"/>
  <c r="L54" i="4"/>
  <c r="M54" i="4"/>
  <c r="P54" i="4"/>
  <c r="R54" i="4"/>
  <c r="S54" i="4"/>
  <c r="H55" i="4"/>
  <c r="L55" i="4"/>
  <c r="M55" i="4"/>
  <c r="P55" i="4"/>
  <c r="R55" i="4"/>
  <c r="S55" i="4"/>
  <c r="H56" i="4"/>
  <c r="L56" i="4"/>
  <c r="M56" i="4"/>
  <c r="P56" i="4"/>
  <c r="R56" i="4"/>
  <c r="S56" i="4"/>
  <c r="H57" i="4"/>
  <c r="L57" i="4"/>
  <c r="M57" i="4"/>
  <c r="P57" i="4"/>
  <c r="R57" i="4"/>
  <c r="S57" i="4"/>
  <c r="H58" i="4"/>
  <c r="L58" i="4"/>
  <c r="M58" i="4"/>
  <c r="P58" i="4"/>
  <c r="R58" i="4"/>
  <c r="S58" i="4"/>
  <c r="H59" i="4"/>
  <c r="L59" i="4"/>
  <c r="M59" i="4"/>
  <c r="P59" i="4"/>
  <c r="R59" i="4"/>
  <c r="S59" i="4"/>
  <c r="H60" i="4"/>
  <c r="L60" i="4"/>
  <c r="M60" i="4"/>
  <c r="P60" i="4"/>
  <c r="R60" i="4"/>
  <c r="S60" i="4"/>
  <c r="H61" i="4"/>
  <c r="L61" i="4"/>
  <c r="M61" i="4"/>
  <c r="P61" i="4"/>
  <c r="R61" i="4"/>
  <c r="S61" i="4"/>
  <c r="H62" i="4"/>
  <c r="L62" i="4"/>
  <c r="M62" i="4"/>
  <c r="P62" i="4"/>
  <c r="R62" i="4"/>
  <c r="S62" i="4"/>
  <c r="H63" i="4"/>
  <c r="L63" i="4"/>
  <c r="M63" i="4"/>
  <c r="P63" i="4"/>
  <c r="R63" i="4"/>
  <c r="S63" i="4"/>
  <c r="H64" i="4"/>
  <c r="L64" i="4"/>
  <c r="M64" i="4"/>
  <c r="P64" i="4"/>
  <c r="R64" i="4"/>
  <c r="S64" i="4"/>
  <c r="H65" i="4"/>
  <c r="L65" i="4"/>
  <c r="M65" i="4"/>
  <c r="P65" i="4"/>
  <c r="R65" i="4"/>
  <c r="S65" i="4"/>
  <c r="H66" i="4"/>
  <c r="L66" i="4"/>
  <c r="M66" i="4"/>
  <c r="P66" i="4"/>
  <c r="R66" i="4"/>
  <c r="S66" i="4"/>
  <c r="H67" i="4"/>
  <c r="L67" i="4"/>
  <c r="M67" i="4"/>
  <c r="P67" i="4"/>
  <c r="R67" i="4"/>
  <c r="S67" i="4"/>
  <c r="H68" i="4"/>
  <c r="L68" i="4"/>
  <c r="M68" i="4"/>
  <c r="P68" i="4"/>
  <c r="R68" i="4"/>
  <c r="S68" i="4"/>
  <c r="H69" i="4"/>
  <c r="L69" i="4"/>
  <c r="M69" i="4"/>
  <c r="P69" i="4"/>
  <c r="R69" i="4"/>
  <c r="S69" i="4"/>
  <c r="H70" i="4"/>
  <c r="L70" i="4"/>
  <c r="M70" i="4"/>
  <c r="P70" i="4"/>
  <c r="R70" i="4"/>
  <c r="S70" i="4"/>
  <c r="H71" i="4"/>
  <c r="L71" i="4"/>
  <c r="M71" i="4"/>
  <c r="P71" i="4"/>
  <c r="R71" i="4"/>
  <c r="S71" i="4"/>
  <c r="H72" i="4"/>
  <c r="L72" i="4"/>
  <c r="M72" i="4"/>
  <c r="P72" i="4"/>
  <c r="R72" i="4"/>
  <c r="S72" i="4"/>
  <c r="H73" i="4"/>
  <c r="L73" i="4"/>
  <c r="M73" i="4"/>
  <c r="P73" i="4"/>
  <c r="R73" i="4"/>
  <c r="S73" i="4"/>
  <c r="H2" i="4"/>
  <c r="P2" i="4"/>
  <c r="R2" i="4"/>
  <c r="S2" i="4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2" i="5"/>
  <c r="AA18" i="7"/>
  <c r="AA17" i="7"/>
  <c r="AA16" i="7"/>
  <c r="AA15" i="7"/>
  <c r="Z18" i="7"/>
  <c r="Z17" i="7"/>
  <c r="Z16" i="7"/>
  <c r="Z15" i="7"/>
  <c r="Z14" i="7"/>
  <c r="Z3" i="7"/>
  <c r="Z4" i="7"/>
  <c r="Z5" i="7"/>
  <c r="Z6" i="7"/>
  <c r="Z7" i="7"/>
  <c r="Z8" i="7"/>
  <c r="Z9" i="7"/>
  <c r="Z10" i="7"/>
  <c r="Z11" i="7"/>
  <c r="Z7" i="4"/>
  <c r="Z12" i="4"/>
  <c r="X12" i="4"/>
  <c r="X7" i="4"/>
  <c r="Z6" i="4"/>
  <c r="X6" i="4"/>
  <c r="Z11" i="4"/>
  <c r="X11" i="4"/>
  <c r="Z10" i="4"/>
  <c r="X10" i="4"/>
  <c r="Z5" i="4"/>
  <c r="X5" i="4"/>
  <c r="Z13" i="4"/>
  <c r="X13" i="4"/>
  <c r="Z8" i="4"/>
  <c r="X8" i="4"/>
  <c r="Z9" i="4"/>
  <c r="X9" i="4"/>
  <c r="X4" i="4"/>
  <c r="Y4" i="4"/>
  <c r="Z4" i="4"/>
  <c r="Y13" i="4"/>
  <c r="AB13" i="4"/>
  <c r="AA13" i="4"/>
  <c r="Y12" i="4"/>
  <c r="AB12" i="4"/>
  <c r="AA12" i="4"/>
  <c r="Y11" i="4"/>
  <c r="AB11" i="4"/>
  <c r="AA11" i="4"/>
  <c r="Y10" i="4"/>
  <c r="AB10" i="4"/>
  <c r="AA10" i="4"/>
  <c r="Y9" i="4"/>
  <c r="AB9" i="4"/>
  <c r="AA9" i="4"/>
  <c r="Y8" i="4"/>
  <c r="AB8" i="4"/>
  <c r="AA8" i="4"/>
  <c r="Y7" i="4"/>
  <c r="AB7" i="4"/>
  <c r="AA7" i="4"/>
  <c r="Y6" i="4"/>
  <c r="AB6" i="4"/>
  <c r="AA6" i="4"/>
  <c r="Y5" i="4"/>
  <c r="AB5" i="4"/>
  <c r="AA5" i="4"/>
  <c r="AB4" i="4"/>
  <c r="H2" i="5"/>
  <c r="M2" i="5"/>
  <c r="L2" i="5"/>
  <c r="V6" i="7"/>
  <c r="V5" i="7"/>
  <c r="V11" i="7"/>
  <c r="V10" i="7"/>
  <c r="V9" i="7"/>
  <c r="V4" i="7"/>
  <c r="V8" i="7"/>
  <c r="V3" i="7"/>
  <c r="V7" i="7"/>
  <c r="V2" i="7"/>
  <c r="P70" i="6"/>
  <c r="P71" i="6"/>
  <c r="P72" i="6"/>
  <c r="P73" i="6"/>
  <c r="P74" i="6"/>
  <c r="P75" i="6"/>
  <c r="P76" i="6"/>
  <c r="P77" i="6"/>
  <c r="P78" i="6"/>
  <c r="Z11" i="6"/>
  <c r="AA11" i="6"/>
  <c r="P53" i="6"/>
  <c r="P54" i="6"/>
  <c r="P55" i="6"/>
  <c r="P56" i="6"/>
  <c r="P57" i="6"/>
  <c r="P58" i="6"/>
  <c r="P59" i="6"/>
  <c r="P60" i="6"/>
  <c r="Z10" i="6"/>
  <c r="AA10" i="6"/>
  <c r="P36" i="6"/>
  <c r="P37" i="6"/>
  <c r="P38" i="6"/>
  <c r="P39" i="6"/>
  <c r="P40" i="6"/>
  <c r="P41" i="6"/>
  <c r="P42" i="6"/>
  <c r="P43" i="6"/>
  <c r="Z9" i="6"/>
  <c r="AA9" i="6"/>
  <c r="P19" i="6"/>
  <c r="P20" i="6"/>
  <c r="P21" i="6"/>
  <c r="P22" i="6"/>
  <c r="P23" i="6"/>
  <c r="P24" i="6"/>
  <c r="P25" i="6"/>
  <c r="P26" i="6"/>
  <c r="Z8" i="6"/>
  <c r="AA8" i="6"/>
  <c r="P4" i="6"/>
  <c r="P5" i="6"/>
  <c r="P6" i="6"/>
  <c r="P7" i="6"/>
  <c r="P8" i="6"/>
  <c r="P9" i="6"/>
  <c r="Z7" i="6"/>
  <c r="AA7" i="6"/>
  <c r="P61" i="6"/>
  <c r="P62" i="6"/>
  <c r="P63" i="6"/>
  <c r="P64" i="6"/>
  <c r="P65" i="6"/>
  <c r="P66" i="6"/>
  <c r="P67" i="6"/>
  <c r="P68" i="6"/>
  <c r="P69" i="6"/>
  <c r="Z6" i="6"/>
  <c r="AA6" i="6"/>
  <c r="P44" i="6"/>
  <c r="P45" i="6"/>
  <c r="P46" i="6"/>
  <c r="P47" i="6"/>
  <c r="P48" i="6"/>
  <c r="P49" i="6"/>
  <c r="P50" i="6"/>
  <c r="P51" i="6"/>
  <c r="P52" i="6"/>
  <c r="Z5" i="6"/>
  <c r="AA5" i="6"/>
  <c r="P27" i="6"/>
  <c r="P28" i="6"/>
  <c r="P29" i="6"/>
  <c r="P30" i="6"/>
  <c r="P31" i="6"/>
  <c r="P32" i="6"/>
  <c r="P33" i="6"/>
  <c r="P34" i="6"/>
  <c r="P35" i="6"/>
  <c r="Z4" i="6"/>
  <c r="AA4" i="6"/>
  <c r="P10" i="6"/>
  <c r="P11" i="6"/>
  <c r="P12" i="6"/>
  <c r="P13" i="6"/>
  <c r="P14" i="6"/>
  <c r="P15" i="6"/>
  <c r="P16" i="6"/>
  <c r="P17" i="6"/>
  <c r="P18" i="6"/>
  <c r="Z3" i="6"/>
  <c r="AA3" i="6"/>
  <c r="Z2" i="6"/>
  <c r="AA2" i="6"/>
  <c r="Y11" i="6"/>
  <c r="Y6" i="6"/>
  <c r="Y10" i="6"/>
  <c r="Y5" i="6"/>
  <c r="Y9" i="6"/>
  <c r="Y4" i="6"/>
  <c r="Y8" i="6"/>
  <c r="Y3" i="6"/>
  <c r="Y7" i="6"/>
  <c r="H70" i="7"/>
  <c r="M70" i="7"/>
  <c r="N70" i="7"/>
  <c r="P70" i="7"/>
  <c r="H71" i="7"/>
  <c r="M71" i="7"/>
  <c r="N71" i="7"/>
  <c r="P71" i="7"/>
  <c r="H72" i="7"/>
  <c r="M72" i="7"/>
  <c r="N72" i="7"/>
  <c r="P72" i="7"/>
  <c r="H73" i="7"/>
  <c r="M73" i="7"/>
  <c r="N73" i="7"/>
  <c r="P73" i="7"/>
  <c r="H74" i="7"/>
  <c r="M74" i="7"/>
  <c r="N74" i="7"/>
  <c r="P74" i="7"/>
  <c r="H75" i="7"/>
  <c r="M75" i="7"/>
  <c r="N75" i="7"/>
  <c r="P75" i="7"/>
  <c r="H76" i="7"/>
  <c r="M76" i="7"/>
  <c r="N76" i="7"/>
  <c r="P76" i="7"/>
  <c r="H77" i="7"/>
  <c r="M77" i="7"/>
  <c r="N77" i="7"/>
  <c r="P77" i="7"/>
  <c r="H78" i="7"/>
  <c r="M78" i="7"/>
  <c r="N78" i="7"/>
  <c r="P78" i="7"/>
  <c r="U11" i="7"/>
  <c r="H53" i="7"/>
  <c r="M53" i="7"/>
  <c r="N53" i="7"/>
  <c r="P53" i="7"/>
  <c r="H54" i="7"/>
  <c r="M54" i="7"/>
  <c r="N54" i="7"/>
  <c r="P54" i="7"/>
  <c r="H55" i="7"/>
  <c r="M55" i="7"/>
  <c r="N55" i="7"/>
  <c r="P55" i="7"/>
  <c r="H56" i="7"/>
  <c r="M56" i="7"/>
  <c r="N56" i="7"/>
  <c r="P56" i="7"/>
  <c r="H57" i="7"/>
  <c r="M57" i="7"/>
  <c r="N57" i="7"/>
  <c r="P57" i="7"/>
  <c r="H58" i="7"/>
  <c r="M58" i="7"/>
  <c r="N58" i="7"/>
  <c r="P58" i="7"/>
  <c r="H59" i="7"/>
  <c r="M59" i="7"/>
  <c r="N59" i="7"/>
  <c r="P59" i="7"/>
  <c r="H60" i="7"/>
  <c r="M60" i="7"/>
  <c r="N60" i="7"/>
  <c r="P60" i="7"/>
  <c r="U10" i="7"/>
  <c r="H36" i="7"/>
  <c r="M36" i="7"/>
  <c r="N36" i="7"/>
  <c r="P36" i="7"/>
  <c r="H37" i="7"/>
  <c r="M37" i="7"/>
  <c r="N37" i="7"/>
  <c r="P37" i="7"/>
  <c r="H38" i="7"/>
  <c r="M38" i="7"/>
  <c r="N38" i="7"/>
  <c r="P38" i="7"/>
  <c r="H39" i="7"/>
  <c r="M39" i="7"/>
  <c r="N39" i="7"/>
  <c r="P39" i="7"/>
  <c r="H40" i="7"/>
  <c r="M40" i="7"/>
  <c r="N40" i="7"/>
  <c r="P40" i="7"/>
  <c r="H41" i="7"/>
  <c r="M41" i="7"/>
  <c r="N41" i="7"/>
  <c r="P41" i="7"/>
  <c r="H42" i="7"/>
  <c r="M42" i="7"/>
  <c r="N42" i="7"/>
  <c r="P42" i="7"/>
  <c r="H43" i="7"/>
  <c r="M43" i="7"/>
  <c r="N43" i="7"/>
  <c r="P43" i="7"/>
  <c r="U9" i="7"/>
  <c r="H19" i="7"/>
  <c r="M19" i="7"/>
  <c r="N19" i="7"/>
  <c r="P19" i="7"/>
  <c r="H20" i="7"/>
  <c r="M20" i="7"/>
  <c r="N20" i="7"/>
  <c r="P20" i="7"/>
  <c r="H21" i="7"/>
  <c r="M21" i="7"/>
  <c r="N21" i="7"/>
  <c r="P21" i="7"/>
  <c r="H22" i="7"/>
  <c r="M22" i="7"/>
  <c r="N22" i="7"/>
  <c r="P22" i="7"/>
  <c r="H23" i="7"/>
  <c r="M23" i="7"/>
  <c r="N23" i="7"/>
  <c r="P23" i="7"/>
  <c r="H24" i="7"/>
  <c r="M24" i="7"/>
  <c r="N24" i="7"/>
  <c r="P24" i="7"/>
  <c r="H25" i="7"/>
  <c r="M25" i="7"/>
  <c r="N25" i="7"/>
  <c r="P25" i="7"/>
  <c r="H26" i="7"/>
  <c r="M26" i="7"/>
  <c r="N26" i="7"/>
  <c r="P26" i="7"/>
  <c r="U8" i="7"/>
  <c r="H4" i="7"/>
  <c r="M4" i="7"/>
  <c r="N4" i="7"/>
  <c r="P4" i="7"/>
  <c r="H5" i="7"/>
  <c r="M5" i="7"/>
  <c r="N5" i="7"/>
  <c r="P5" i="7"/>
  <c r="H6" i="7"/>
  <c r="M6" i="7"/>
  <c r="N6" i="7"/>
  <c r="P6" i="7"/>
  <c r="H7" i="7"/>
  <c r="M7" i="7"/>
  <c r="N7" i="7"/>
  <c r="P7" i="7"/>
  <c r="H8" i="7"/>
  <c r="M8" i="7"/>
  <c r="N8" i="7"/>
  <c r="P8" i="7"/>
  <c r="H9" i="7"/>
  <c r="M9" i="7"/>
  <c r="N9" i="7"/>
  <c r="P9" i="7"/>
  <c r="U7" i="7"/>
  <c r="H61" i="7"/>
  <c r="M61" i="7"/>
  <c r="N61" i="7"/>
  <c r="P61" i="7"/>
  <c r="H62" i="7"/>
  <c r="M62" i="7"/>
  <c r="N62" i="7"/>
  <c r="P62" i="7"/>
  <c r="H63" i="7"/>
  <c r="M63" i="7"/>
  <c r="N63" i="7"/>
  <c r="P63" i="7"/>
  <c r="H64" i="7"/>
  <c r="M64" i="7"/>
  <c r="N64" i="7"/>
  <c r="P64" i="7"/>
  <c r="H65" i="7"/>
  <c r="M65" i="7"/>
  <c r="N65" i="7"/>
  <c r="P65" i="7"/>
  <c r="H66" i="7"/>
  <c r="M66" i="7"/>
  <c r="N66" i="7"/>
  <c r="P66" i="7"/>
  <c r="H67" i="7"/>
  <c r="M67" i="7"/>
  <c r="N67" i="7"/>
  <c r="P67" i="7"/>
  <c r="H68" i="7"/>
  <c r="M68" i="7"/>
  <c r="N68" i="7"/>
  <c r="P68" i="7"/>
  <c r="H69" i="7"/>
  <c r="M69" i="7"/>
  <c r="N69" i="7"/>
  <c r="P69" i="7"/>
  <c r="U6" i="7"/>
  <c r="H44" i="7"/>
  <c r="M44" i="7"/>
  <c r="N44" i="7"/>
  <c r="P44" i="7"/>
  <c r="H45" i="7"/>
  <c r="M45" i="7"/>
  <c r="N45" i="7"/>
  <c r="P45" i="7"/>
  <c r="H46" i="7"/>
  <c r="M46" i="7"/>
  <c r="N46" i="7"/>
  <c r="P46" i="7"/>
  <c r="H47" i="7"/>
  <c r="M47" i="7"/>
  <c r="N47" i="7"/>
  <c r="P47" i="7"/>
  <c r="H48" i="7"/>
  <c r="M48" i="7"/>
  <c r="N48" i="7"/>
  <c r="P48" i="7"/>
  <c r="H49" i="7"/>
  <c r="M49" i="7"/>
  <c r="N49" i="7"/>
  <c r="P49" i="7"/>
  <c r="H50" i="7"/>
  <c r="M50" i="7"/>
  <c r="N50" i="7"/>
  <c r="P50" i="7"/>
  <c r="H51" i="7"/>
  <c r="M51" i="7"/>
  <c r="N51" i="7"/>
  <c r="P51" i="7"/>
  <c r="H52" i="7"/>
  <c r="M52" i="7"/>
  <c r="N52" i="7"/>
  <c r="P52" i="7"/>
  <c r="U5" i="7"/>
  <c r="H27" i="7"/>
  <c r="M27" i="7"/>
  <c r="N27" i="7"/>
  <c r="P27" i="7"/>
  <c r="H28" i="7"/>
  <c r="M28" i="7"/>
  <c r="N28" i="7"/>
  <c r="P28" i="7"/>
  <c r="H29" i="7"/>
  <c r="M29" i="7"/>
  <c r="N29" i="7"/>
  <c r="P29" i="7"/>
  <c r="H30" i="7"/>
  <c r="M30" i="7"/>
  <c r="N30" i="7"/>
  <c r="P30" i="7"/>
  <c r="H31" i="7"/>
  <c r="M31" i="7"/>
  <c r="N31" i="7"/>
  <c r="P31" i="7"/>
  <c r="H32" i="7"/>
  <c r="M32" i="7"/>
  <c r="N32" i="7"/>
  <c r="P32" i="7"/>
  <c r="H33" i="7"/>
  <c r="M33" i="7"/>
  <c r="N33" i="7"/>
  <c r="P33" i="7"/>
  <c r="H34" i="7"/>
  <c r="M34" i="7"/>
  <c r="N34" i="7"/>
  <c r="P34" i="7"/>
  <c r="H35" i="7"/>
  <c r="M35" i="7"/>
  <c r="N35" i="7"/>
  <c r="P35" i="7"/>
  <c r="U4" i="7"/>
  <c r="H10" i="7"/>
  <c r="M10" i="7"/>
  <c r="N10" i="7"/>
  <c r="P10" i="7"/>
  <c r="H11" i="7"/>
  <c r="M11" i="7"/>
  <c r="N11" i="7"/>
  <c r="P11" i="7"/>
  <c r="H12" i="7"/>
  <c r="M12" i="7"/>
  <c r="N12" i="7"/>
  <c r="P12" i="7"/>
  <c r="H13" i="7"/>
  <c r="M13" i="7"/>
  <c r="N13" i="7"/>
  <c r="P13" i="7"/>
  <c r="H14" i="7"/>
  <c r="M14" i="7"/>
  <c r="N14" i="7"/>
  <c r="P14" i="7"/>
  <c r="H15" i="7"/>
  <c r="M15" i="7"/>
  <c r="N15" i="7"/>
  <c r="P15" i="7"/>
  <c r="H16" i="7"/>
  <c r="M16" i="7"/>
  <c r="N16" i="7"/>
  <c r="P16" i="7"/>
  <c r="H17" i="7"/>
  <c r="M17" i="7"/>
  <c r="N17" i="7"/>
  <c r="P17" i="7"/>
  <c r="H18" i="7"/>
  <c r="M18" i="7"/>
  <c r="N18" i="7"/>
  <c r="P18" i="7"/>
  <c r="U3" i="7"/>
  <c r="H2" i="7"/>
  <c r="M2" i="7"/>
  <c r="N2" i="7"/>
  <c r="P2" i="7"/>
  <c r="H3" i="7"/>
  <c r="M3" i="7"/>
  <c r="N3" i="7"/>
  <c r="P3" i="7"/>
  <c r="U2" i="7"/>
  <c r="T11" i="7"/>
  <c r="T10" i="7"/>
  <c r="T9" i="7"/>
  <c r="T8" i="7"/>
  <c r="T7" i="7"/>
  <c r="T6" i="7"/>
  <c r="T5" i="7"/>
  <c r="T4" i="7"/>
  <c r="T3" i="7"/>
  <c r="T2" i="7"/>
  <c r="B57" i="1"/>
  <c r="F26" i="1"/>
  <c r="F25" i="1"/>
  <c r="F18" i="1"/>
  <c r="F17" i="1"/>
  <c r="L76" i="4"/>
  <c r="L77" i="4"/>
  <c r="L74" i="4"/>
  <c r="L78" i="4"/>
  <c r="J65" i="4"/>
  <c r="J63" i="4"/>
  <c r="J66" i="4"/>
  <c r="J61" i="4"/>
  <c r="J67" i="4"/>
  <c r="J68" i="4"/>
  <c r="R74" i="4"/>
  <c r="R75" i="4"/>
  <c r="O75" i="4"/>
  <c r="O74" i="4"/>
  <c r="O76" i="4"/>
  <c r="K74" i="4"/>
  <c r="U7" i="5"/>
  <c r="X7" i="5"/>
  <c r="U8" i="5"/>
  <c r="X8" i="5"/>
  <c r="U9" i="5"/>
  <c r="X9" i="5"/>
  <c r="U10" i="5"/>
  <c r="X10" i="5"/>
  <c r="U11" i="5"/>
  <c r="X11" i="5"/>
  <c r="U12" i="5"/>
  <c r="X12" i="5"/>
  <c r="U13" i="5"/>
  <c r="X13" i="5"/>
  <c r="U14" i="5"/>
  <c r="X14" i="5"/>
  <c r="U15" i="5"/>
  <c r="X15" i="5"/>
  <c r="X6" i="5"/>
  <c r="W7" i="5"/>
  <c r="W8" i="5"/>
  <c r="W9" i="5"/>
  <c r="W10" i="5"/>
  <c r="W11" i="5"/>
  <c r="W12" i="5"/>
  <c r="W13" i="5"/>
  <c r="W14" i="5"/>
  <c r="W15" i="5"/>
  <c r="H3" i="5"/>
  <c r="M3" i="5"/>
  <c r="N3" i="5"/>
  <c r="L3" i="5"/>
  <c r="Q3" i="5"/>
  <c r="H4" i="5"/>
  <c r="M4" i="5"/>
  <c r="N4" i="5"/>
  <c r="L4" i="5"/>
  <c r="Q4" i="5"/>
  <c r="H5" i="5"/>
  <c r="M5" i="5"/>
  <c r="N5" i="5"/>
  <c r="L5" i="5"/>
  <c r="Q5" i="5"/>
  <c r="H6" i="5"/>
  <c r="M6" i="5"/>
  <c r="N6" i="5"/>
  <c r="L6" i="5"/>
  <c r="Q6" i="5"/>
  <c r="H7" i="5"/>
  <c r="M7" i="5"/>
  <c r="N7" i="5"/>
  <c r="L7" i="5"/>
  <c r="Q7" i="5"/>
  <c r="H8" i="5"/>
  <c r="M8" i="5"/>
  <c r="N8" i="5"/>
  <c r="L8" i="5"/>
  <c r="Q8" i="5"/>
  <c r="H9" i="5"/>
  <c r="M9" i="5"/>
  <c r="N9" i="5"/>
  <c r="L9" i="5"/>
  <c r="Q9" i="5"/>
  <c r="H10" i="5"/>
  <c r="M10" i="5"/>
  <c r="N10" i="5"/>
  <c r="L10" i="5"/>
  <c r="Q10" i="5"/>
  <c r="H11" i="5"/>
  <c r="M11" i="5"/>
  <c r="N11" i="5"/>
  <c r="L11" i="5"/>
  <c r="Q11" i="5"/>
  <c r="H12" i="5"/>
  <c r="M12" i="5"/>
  <c r="N12" i="5"/>
  <c r="L12" i="5"/>
  <c r="Q12" i="5"/>
  <c r="H13" i="5"/>
  <c r="M13" i="5"/>
  <c r="N13" i="5"/>
  <c r="L13" i="5"/>
  <c r="Q13" i="5"/>
  <c r="H14" i="5"/>
  <c r="M14" i="5"/>
  <c r="N14" i="5"/>
  <c r="L14" i="5"/>
  <c r="Q14" i="5"/>
  <c r="H15" i="5"/>
  <c r="M15" i="5"/>
  <c r="N15" i="5"/>
  <c r="L15" i="5"/>
  <c r="Q15" i="5"/>
  <c r="H16" i="5"/>
  <c r="M16" i="5"/>
  <c r="N16" i="5"/>
  <c r="L16" i="5"/>
  <c r="Q16" i="5"/>
  <c r="H17" i="5"/>
  <c r="M17" i="5"/>
  <c r="N17" i="5"/>
  <c r="L17" i="5"/>
  <c r="Q17" i="5"/>
  <c r="H18" i="5"/>
  <c r="M18" i="5"/>
  <c r="N18" i="5"/>
  <c r="L18" i="5"/>
  <c r="Q18" i="5"/>
  <c r="H19" i="5"/>
  <c r="M19" i="5"/>
  <c r="N19" i="5"/>
  <c r="L19" i="5"/>
  <c r="Q19" i="5"/>
  <c r="H20" i="5"/>
  <c r="M20" i="5"/>
  <c r="N20" i="5"/>
  <c r="L20" i="5"/>
  <c r="Q20" i="5"/>
  <c r="H21" i="5"/>
  <c r="M21" i="5"/>
  <c r="N21" i="5"/>
  <c r="L21" i="5"/>
  <c r="Q21" i="5"/>
  <c r="H22" i="5"/>
  <c r="M22" i="5"/>
  <c r="N22" i="5"/>
  <c r="L22" i="5"/>
  <c r="Q22" i="5"/>
  <c r="H23" i="5"/>
  <c r="M23" i="5"/>
  <c r="N23" i="5"/>
  <c r="L23" i="5"/>
  <c r="Q23" i="5"/>
  <c r="H24" i="5"/>
  <c r="M24" i="5"/>
  <c r="N24" i="5"/>
  <c r="L24" i="5"/>
  <c r="Q24" i="5"/>
  <c r="H25" i="5"/>
  <c r="M25" i="5"/>
  <c r="N25" i="5"/>
  <c r="L25" i="5"/>
  <c r="Q25" i="5"/>
  <c r="H26" i="5"/>
  <c r="M26" i="5"/>
  <c r="N26" i="5"/>
  <c r="L26" i="5"/>
  <c r="Q26" i="5"/>
  <c r="H27" i="5"/>
  <c r="M27" i="5"/>
  <c r="N27" i="5"/>
  <c r="L27" i="5"/>
  <c r="Q27" i="5"/>
  <c r="H28" i="5"/>
  <c r="M28" i="5"/>
  <c r="N28" i="5"/>
  <c r="L28" i="5"/>
  <c r="Q28" i="5"/>
  <c r="H29" i="5"/>
  <c r="M29" i="5"/>
  <c r="N29" i="5"/>
  <c r="L29" i="5"/>
  <c r="Q29" i="5"/>
  <c r="H30" i="5"/>
  <c r="M30" i="5"/>
  <c r="N30" i="5"/>
  <c r="L30" i="5"/>
  <c r="Q30" i="5"/>
  <c r="H31" i="5"/>
  <c r="M31" i="5"/>
  <c r="N31" i="5"/>
  <c r="L31" i="5"/>
  <c r="Q31" i="5"/>
  <c r="H32" i="5"/>
  <c r="M32" i="5"/>
  <c r="N32" i="5"/>
  <c r="L32" i="5"/>
  <c r="Q32" i="5"/>
  <c r="H33" i="5"/>
  <c r="M33" i="5"/>
  <c r="N33" i="5"/>
  <c r="L33" i="5"/>
  <c r="Q33" i="5"/>
  <c r="H34" i="5"/>
  <c r="M34" i="5"/>
  <c r="N34" i="5"/>
  <c r="L34" i="5"/>
  <c r="Q34" i="5"/>
  <c r="H35" i="5"/>
  <c r="M35" i="5"/>
  <c r="N35" i="5"/>
  <c r="L35" i="5"/>
  <c r="Q35" i="5"/>
  <c r="H36" i="5"/>
  <c r="M36" i="5"/>
  <c r="N36" i="5"/>
  <c r="L36" i="5"/>
  <c r="Q36" i="5"/>
  <c r="H37" i="5"/>
  <c r="M37" i="5"/>
  <c r="N37" i="5"/>
  <c r="L37" i="5"/>
  <c r="Q37" i="5"/>
  <c r="H38" i="5"/>
  <c r="M38" i="5"/>
  <c r="N38" i="5"/>
  <c r="L38" i="5"/>
  <c r="Q38" i="5"/>
  <c r="H39" i="5"/>
  <c r="M39" i="5"/>
  <c r="N39" i="5"/>
  <c r="L39" i="5"/>
  <c r="Q39" i="5"/>
  <c r="H40" i="5"/>
  <c r="M40" i="5"/>
  <c r="N40" i="5"/>
  <c r="L40" i="5"/>
  <c r="Q40" i="5"/>
  <c r="H41" i="5"/>
  <c r="M41" i="5"/>
  <c r="N41" i="5"/>
  <c r="L41" i="5"/>
  <c r="Q41" i="5"/>
  <c r="H42" i="5"/>
  <c r="M42" i="5"/>
  <c r="N42" i="5"/>
  <c r="L42" i="5"/>
  <c r="Q42" i="5"/>
  <c r="H43" i="5"/>
  <c r="M43" i="5"/>
  <c r="N43" i="5"/>
  <c r="L43" i="5"/>
  <c r="Q43" i="5"/>
  <c r="H44" i="5"/>
  <c r="M44" i="5"/>
  <c r="N44" i="5"/>
  <c r="L44" i="5"/>
  <c r="Q44" i="5"/>
  <c r="H45" i="5"/>
  <c r="M45" i="5"/>
  <c r="N45" i="5"/>
  <c r="L45" i="5"/>
  <c r="Q45" i="5"/>
  <c r="H46" i="5"/>
  <c r="M46" i="5"/>
  <c r="N46" i="5"/>
  <c r="L46" i="5"/>
  <c r="Q46" i="5"/>
  <c r="H47" i="5"/>
  <c r="M47" i="5"/>
  <c r="N47" i="5"/>
  <c r="L47" i="5"/>
  <c r="Q47" i="5"/>
  <c r="H48" i="5"/>
  <c r="M48" i="5"/>
  <c r="N48" i="5"/>
  <c r="L48" i="5"/>
  <c r="Q48" i="5"/>
  <c r="H49" i="5"/>
  <c r="M49" i="5"/>
  <c r="N49" i="5"/>
  <c r="L49" i="5"/>
  <c r="Q49" i="5"/>
  <c r="H50" i="5"/>
  <c r="M50" i="5"/>
  <c r="N50" i="5"/>
  <c r="L50" i="5"/>
  <c r="Q50" i="5"/>
  <c r="H51" i="5"/>
  <c r="M51" i="5"/>
  <c r="N51" i="5"/>
  <c r="L51" i="5"/>
  <c r="Q51" i="5"/>
  <c r="H52" i="5"/>
  <c r="M52" i="5"/>
  <c r="N52" i="5"/>
  <c r="L52" i="5"/>
  <c r="Q52" i="5"/>
  <c r="H53" i="5"/>
  <c r="M53" i="5"/>
  <c r="N53" i="5"/>
  <c r="L53" i="5"/>
  <c r="Q53" i="5"/>
  <c r="H54" i="5"/>
  <c r="M54" i="5"/>
  <c r="N54" i="5"/>
  <c r="L54" i="5"/>
  <c r="Q54" i="5"/>
  <c r="H55" i="5"/>
  <c r="M55" i="5"/>
  <c r="N55" i="5"/>
  <c r="L55" i="5"/>
  <c r="Q55" i="5"/>
  <c r="H56" i="5"/>
  <c r="M56" i="5"/>
  <c r="N56" i="5"/>
  <c r="L56" i="5"/>
  <c r="Q56" i="5"/>
  <c r="H57" i="5"/>
  <c r="M57" i="5"/>
  <c r="N57" i="5"/>
  <c r="L57" i="5"/>
  <c r="Q57" i="5"/>
  <c r="H58" i="5"/>
  <c r="M58" i="5"/>
  <c r="N58" i="5"/>
  <c r="L58" i="5"/>
  <c r="Q58" i="5"/>
  <c r="H59" i="5"/>
  <c r="M59" i="5"/>
  <c r="N59" i="5"/>
  <c r="L59" i="5"/>
  <c r="Q59" i="5"/>
  <c r="H60" i="5"/>
  <c r="M60" i="5"/>
  <c r="N60" i="5"/>
  <c r="L60" i="5"/>
  <c r="Q60" i="5"/>
  <c r="H61" i="5"/>
  <c r="M61" i="5"/>
  <c r="N61" i="5"/>
  <c r="L61" i="5"/>
  <c r="Q61" i="5"/>
  <c r="H62" i="5"/>
  <c r="M62" i="5"/>
  <c r="N62" i="5"/>
  <c r="L62" i="5"/>
  <c r="Q62" i="5"/>
  <c r="H63" i="5"/>
  <c r="M63" i="5"/>
  <c r="N63" i="5"/>
  <c r="L63" i="5"/>
  <c r="Q63" i="5"/>
  <c r="H64" i="5"/>
  <c r="M64" i="5"/>
  <c r="N64" i="5"/>
  <c r="L64" i="5"/>
  <c r="Q64" i="5"/>
  <c r="H65" i="5"/>
  <c r="M65" i="5"/>
  <c r="N65" i="5"/>
  <c r="L65" i="5"/>
  <c r="Q65" i="5"/>
  <c r="H66" i="5"/>
  <c r="M66" i="5"/>
  <c r="N66" i="5"/>
  <c r="L66" i="5"/>
  <c r="Q66" i="5"/>
  <c r="H67" i="5"/>
  <c r="M67" i="5"/>
  <c r="N67" i="5"/>
  <c r="L67" i="5"/>
  <c r="Q67" i="5"/>
  <c r="H68" i="5"/>
  <c r="M68" i="5"/>
  <c r="N68" i="5"/>
  <c r="L68" i="5"/>
  <c r="Q68" i="5"/>
  <c r="H69" i="5"/>
  <c r="M69" i="5"/>
  <c r="N69" i="5"/>
  <c r="L69" i="5"/>
  <c r="Q69" i="5"/>
  <c r="H70" i="5"/>
  <c r="M70" i="5"/>
  <c r="N70" i="5"/>
  <c r="L70" i="5"/>
  <c r="Q70" i="5"/>
  <c r="H71" i="5"/>
  <c r="M71" i="5"/>
  <c r="N71" i="5"/>
  <c r="L71" i="5"/>
  <c r="Q71" i="5"/>
  <c r="H72" i="5"/>
  <c r="M72" i="5"/>
  <c r="N72" i="5"/>
  <c r="L72" i="5"/>
  <c r="Q72" i="5"/>
  <c r="H73" i="5"/>
  <c r="M73" i="5"/>
  <c r="N73" i="5"/>
  <c r="L73" i="5"/>
  <c r="Q73" i="5"/>
  <c r="H74" i="5"/>
  <c r="M74" i="5"/>
  <c r="N74" i="5"/>
  <c r="L74" i="5"/>
  <c r="Q74" i="5"/>
  <c r="I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H80" i="6"/>
  <c r="H79" i="6"/>
  <c r="J77" i="6"/>
  <c r="J68" i="6"/>
  <c r="J78" i="6"/>
  <c r="J79" i="6"/>
  <c r="P80" i="7"/>
  <c r="P79" i="7"/>
  <c r="G93" i="2"/>
  <c r="G94" i="2"/>
  <c r="B53" i="1"/>
  <c r="C53" i="1"/>
  <c r="D53" i="1"/>
  <c r="E53" i="1"/>
  <c r="B54" i="1"/>
  <c r="C54" i="1"/>
  <c r="D54" i="1"/>
  <c r="E54" i="1"/>
  <c r="B58" i="1"/>
  <c r="Q2" i="2"/>
  <c r="W2" i="2"/>
  <c r="Q3" i="2"/>
  <c r="Q4" i="2"/>
  <c r="Q5" i="2"/>
  <c r="W5" i="2"/>
  <c r="Q6" i="2"/>
  <c r="W6" i="2"/>
  <c r="Q7" i="2"/>
  <c r="Q8" i="2"/>
  <c r="Q9" i="2"/>
  <c r="Q10" i="2"/>
  <c r="Q11" i="2"/>
  <c r="Q12" i="2"/>
  <c r="Q13" i="2"/>
  <c r="Q14" i="2"/>
  <c r="Q15" i="2"/>
  <c r="W15" i="2"/>
  <c r="Y15" i="2"/>
  <c r="Q16" i="2"/>
  <c r="W16" i="2"/>
  <c r="Q17" i="2"/>
  <c r="Q18" i="2"/>
  <c r="Q19" i="2"/>
  <c r="W19" i="2"/>
  <c r="Q20" i="2"/>
  <c r="W20" i="2"/>
  <c r="Y20" i="2"/>
  <c r="Q21" i="2"/>
  <c r="W21" i="2"/>
  <c r="Q22" i="2"/>
  <c r="Q23" i="2"/>
  <c r="Q24" i="2"/>
  <c r="Q25" i="2"/>
  <c r="W25" i="2"/>
  <c r="Q26" i="2"/>
  <c r="Q27" i="2"/>
  <c r="W27" i="2"/>
  <c r="Q28" i="2"/>
  <c r="Q29" i="2"/>
  <c r="Q30" i="2"/>
  <c r="Q31" i="2"/>
  <c r="Q32" i="2"/>
  <c r="Y32" i="2"/>
  <c r="Q33" i="2"/>
  <c r="Q34" i="2"/>
  <c r="Q35" i="2"/>
  <c r="Q36" i="2"/>
  <c r="Q37" i="2"/>
  <c r="Q38" i="2"/>
  <c r="Q39" i="2"/>
  <c r="Q40" i="2"/>
  <c r="Q41" i="2"/>
  <c r="W41" i="2"/>
  <c r="Q42" i="2"/>
  <c r="Q43" i="2"/>
  <c r="W43" i="2"/>
  <c r="Q44" i="2"/>
  <c r="W44" i="2"/>
  <c r="Y44" i="2"/>
  <c r="Q45" i="2"/>
  <c r="W45" i="2"/>
  <c r="Q46" i="2"/>
  <c r="Q47" i="2"/>
  <c r="Y47" i="2"/>
  <c r="Q48" i="2"/>
  <c r="Q49" i="2"/>
  <c r="Q50" i="2"/>
  <c r="W50" i="2"/>
  <c r="Q51" i="2"/>
  <c r="W51" i="2"/>
  <c r="Q52" i="2"/>
  <c r="W52" i="2"/>
  <c r="Q53" i="2"/>
  <c r="Q54" i="2"/>
  <c r="Q55" i="2"/>
  <c r="W55" i="2"/>
  <c r="Y55" i="2"/>
  <c r="Q56" i="2"/>
  <c r="Q57" i="2"/>
  <c r="Y57" i="2"/>
  <c r="Q58" i="2"/>
  <c r="W58" i="2"/>
  <c r="Q59" i="2"/>
  <c r="Y59" i="2"/>
  <c r="Q60" i="2"/>
  <c r="W60" i="2"/>
  <c r="Y60" i="2"/>
  <c r="Q61" i="2"/>
  <c r="Y61" i="2"/>
  <c r="Q62" i="2"/>
  <c r="W62" i="2"/>
  <c r="Y62" i="2"/>
  <c r="Q63" i="2"/>
  <c r="W63" i="2"/>
  <c r="Y63" i="2"/>
  <c r="Q64" i="2"/>
  <c r="W64" i="2"/>
  <c r="Y64" i="2"/>
  <c r="Q65" i="2"/>
  <c r="Y65" i="2"/>
  <c r="Q66" i="2"/>
  <c r="W66" i="2"/>
  <c r="Q67" i="2"/>
  <c r="Y67" i="2"/>
  <c r="Q68" i="2"/>
  <c r="Y68" i="2"/>
  <c r="Q69" i="2"/>
  <c r="Y69" i="2"/>
  <c r="Q70" i="2"/>
  <c r="Q71" i="2"/>
  <c r="W71" i="2"/>
  <c r="Q72" i="2"/>
  <c r="W72" i="2"/>
  <c r="Q73" i="2"/>
  <c r="W73" i="2"/>
  <c r="Q74" i="2"/>
  <c r="Q75" i="2"/>
  <c r="W75" i="2"/>
  <c r="Q76" i="2"/>
  <c r="W76" i="2"/>
  <c r="Q77" i="2"/>
  <c r="Q78" i="2"/>
  <c r="W78" i="2"/>
  <c r="Q79" i="2"/>
  <c r="S79" i="2"/>
  <c r="W79" i="2"/>
  <c r="Q80" i="2"/>
  <c r="W80" i="2"/>
  <c r="Q81" i="2"/>
  <c r="W81" i="2"/>
  <c r="Q82" i="2"/>
  <c r="W82" i="2"/>
  <c r="Q83" i="2"/>
  <c r="W83" i="2"/>
  <c r="Q84" i="2"/>
  <c r="W84" i="2"/>
  <c r="Q85" i="2"/>
  <c r="W85" i="2"/>
  <c r="Q86" i="2"/>
  <c r="Q87" i="2"/>
  <c r="W87" i="2"/>
  <c r="Q88" i="2"/>
  <c r="Q89" i="2"/>
  <c r="W89" i="2"/>
  <c r="Q90" i="2"/>
  <c r="Q91" i="2"/>
  <c r="W92" i="2"/>
  <c r="H93" i="2"/>
  <c r="I93" i="2"/>
  <c r="U93" i="2"/>
  <c r="V93" i="2"/>
  <c r="W93" i="2"/>
  <c r="H94" i="2"/>
  <c r="I94" i="2"/>
  <c r="I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J15" i="7"/>
  <c r="I16" i="7"/>
  <c r="I17" i="7"/>
  <c r="J17" i="7"/>
  <c r="I18" i="7"/>
  <c r="I19" i="7"/>
  <c r="I20" i="7"/>
  <c r="J20" i="7"/>
  <c r="I21" i="7"/>
  <c r="J21" i="7"/>
  <c r="I22" i="7"/>
  <c r="I23" i="7"/>
  <c r="I24" i="7"/>
  <c r="I25" i="7"/>
  <c r="I26" i="7"/>
  <c r="I27" i="7"/>
  <c r="I28" i="7"/>
  <c r="J28" i="7"/>
  <c r="I29" i="7"/>
  <c r="I30" i="7"/>
  <c r="J30" i="7"/>
  <c r="I31" i="7"/>
  <c r="I32" i="7"/>
  <c r="I33" i="7"/>
  <c r="J33" i="7"/>
  <c r="I34" i="7"/>
  <c r="I35" i="7"/>
  <c r="I36" i="7"/>
  <c r="I37" i="7"/>
  <c r="I38" i="7"/>
  <c r="J38" i="7"/>
  <c r="I39" i="7"/>
  <c r="I40" i="7"/>
  <c r="J40" i="7"/>
  <c r="I41" i="7"/>
  <c r="I42" i="7"/>
  <c r="I43" i="7"/>
  <c r="I44" i="7"/>
  <c r="I45" i="7"/>
  <c r="I46" i="7"/>
  <c r="J46" i="7"/>
  <c r="I47" i="7"/>
  <c r="J47" i="7"/>
  <c r="I48" i="7"/>
  <c r="J48" i="7"/>
  <c r="I49" i="7"/>
  <c r="I50" i="7"/>
  <c r="I51" i="7"/>
  <c r="I52" i="7"/>
  <c r="I53" i="7"/>
  <c r="I54" i="7"/>
  <c r="I55" i="7"/>
  <c r="I56" i="7"/>
  <c r="I57" i="7"/>
  <c r="I58" i="7"/>
  <c r="J58" i="7"/>
  <c r="I59" i="7"/>
  <c r="I60" i="7"/>
  <c r="J60" i="7"/>
  <c r="I61" i="7"/>
  <c r="I62" i="7"/>
  <c r="J62" i="7"/>
  <c r="I63" i="7"/>
  <c r="J63" i="7"/>
  <c r="I64" i="7"/>
  <c r="J64" i="7"/>
  <c r="I65" i="7"/>
  <c r="J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H79" i="7"/>
  <c r="H80" i="7"/>
  <c r="I2" i="6"/>
  <c r="I3" i="6"/>
  <c r="I4" i="6"/>
  <c r="I5" i="6"/>
  <c r="I6" i="6"/>
  <c r="I7" i="6"/>
  <c r="I8" i="6"/>
  <c r="I9" i="6"/>
  <c r="I10" i="6"/>
  <c r="I11" i="6"/>
  <c r="I12" i="6"/>
  <c r="I13" i="6"/>
  <c r="I14" i="6"/>
  <c r="V14" i="6"/>
  <c r="I15" i="6"/>
  <c r="V15" i="6"/>
  <c r="I16" i="6"/>
  <c r="V16" i="6"/>
  <c r="I17" i="6"/>
  <c r="I18" i="6"/>
  <c r="I19" i="6"/>
  <c r="I20" i="6"/>
  <c r="J20" i="6"/>
  <c r="I21" i="6"/>
  <c r="I22" i="6"/>
  <c r="J22" i="6"/>
  <c r="I23" i="6"/>
  <c r="I24" i="6"/>
  <c r="J24" i="6"/>
  <c r="I25" i="6"/>
  <c r="J25" i="6"/>
  <c r="I26" i="6"/>
  <c r="J26" i="6"/>
  <c r="I27" i="6"/>
  <c r="J27" i="6"/>
  <c r="I28" i="6"/>
  <c r="I29" i="6"/>
  <c r="I30" i="6"/>
  <c r="I31" i="6"/>
  <c r="J31" i="6"/>
  <c r="I32" i="6"/>
  <c r="I33" i="6"/>
  <c r="J33" i="6"/>
  <c r="I34" i="6"/>
  <c r="I35" i="6"/>
  <c r="J35" i="6"/>
  <c r="I36" i="6"/>
  <c r="I37" i="6"/>
  <c r="J37" i="6"/>
  <c r="I38" i="6"/>
  <c r="J38" i="6"/>
  <c r="I39" i="6"/>
  <c r="J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J54" i="6"/>
  <c r="I55" i="6"/>
  <c r="I56" i="6"/>
  <c r="J56" i="6"/>
  <c r="I57" i="6"/>
  <c r="I58" i="6"/>
  <c r="J58" i="6"/>
  <c r="I59" i="6"/>
  <c r="J59" i="6"/>
  <c r="I60" i="6"/>
  <c r="J60" i="6"/>
  <c r="I61" i="6"/>
  <c r="J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J80" i="6"/>
  <c r="J17" i="5"/>
  <c r="J19" i="5"/>
  <c r="J20" i="5"/>
  <c r="J21" i="5"/>
  <c r="J30" i="5"/>
  <c r="J32" i="5"/>
  <c r="J34" i="5"/>
  <c r="J35" i="5"/>
  <c r="J36" i="5"/>
  <c r="J37" i="5"/>
  <c r="J55" i="5"/>
  <c r="J56" i="5"/>
  <c r="J58" i="5"/>
  <c r="J59" i="5"/>
  <c r="J60" i="5"/>
  <c r="J61" i="5"/>
  <c r="K75" i="5"/>
  <c r="M75" i="5"/>
  <c r="K76" i="5"/>
  <c r="M76" i="5"/>
  <c r="K77" i="5"/>
  <c r="M77" i="5"/>
  <c r="I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J20" i="4"/>
  <c r="I21" i="4"/>
  <c r="J21" i="4"/>
  <c r="I22" i="4"/>
  <c r="I23" i="4"/>
  <c r="J23" i="4"/>
  <c r="I24" i="4"/>
  <c r="I25" i="4"/>
  <c r="I26" i="4"/>
  <c r="I27" i="4"/>
  <c r="I28" i="4"/>
  <c r="I29" i="4"/>
  <c r="I30" i="4"/>
  <c r="I31" i="4"/>
  <c r="I32" i="4"/>
  <c r="J32" i="4"/>
  <c r="I33" i="4"/>
  <c r="I34" i="4"/>
  <c r="J34" i="4"/>
  <c r="I35" i="4"/>
  <c r="I36" i="4"/>
  <c r="J36" i="4"/>
  <c r="I37" i="4"/>
  <c r="I38" i="4"/>
  <c r="I39" i="4"/>
  <c r="J39" i="4"/>
  <c r="I40" i="4"/>
  <c r="I41" i="4"/>
  <c r="I42" i="4"/>
  <c r="J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H75" i="4"/>
  <c r="D27" i="9"/>
</calcChain>
</file>

<file path=xl/sharedStrings.xml><?xml version="1.0" encoding="utf-8"?>
<sst xmlns="http://schemas.openxmlformats.org/spreadsheetml/2006/main" count="3977" uniqueCount="1096">
  <si>
    <t>Sample</t>
  </si>
  <si>
    <t>all amps</t>
  </si>
  <si>
    <t>look great</t>
  </si>
  <si>
    <t>empty</t>
  </si>
  <si>
    <t>Total RNA</t>
  </si>
  <si>
    <t>auto</t>
  </si>
  <si>
    <t>threshold</t>
  </si>
  <si>
    <t>auto baseline</t>
  </si>
  <si>
    <t>1 dil</t>
  </si>
  <si>
    <t>1/-10</t>
  </si>
  <si>
    <t>27.24.3A</t>
  </si>
  <si>
    <t>high molecular weight band</t>
  </si>
  <si>
    <t>DNA quality (1% agarose gel)</t>
  </si>
  <si>
    <t>not visible, likely failed</t>
  </si>
  <si>
    <t>30.12.3C</t>
  </si>
  <si>
    <t>HMW</t>
  </si>
  <si>
    <t>plate 2</t>
  </si>
  <si>
    <t>95% efficiency</t>
  </si>
  <si>
    <t>all failed</t>
  </si>
  <si>
    <t>cDNA</t>
  </si>
  <si>
    <t>50C 2 min</t>
  </si>
  <si>
    <t>95C 10 min</t>
  </si>
  <si>
    <t>95C for 15s</t>
  </si>
  <si>
    <t>59C for 60 s</t>
  </si>
  <si>
    <t>X 35 cycles</t>
  </si>
  <si>
    <t>64-99 melt</t>
  </si>
  <si>
    <t>bold=plate1</t>
  </si>
  <si>
    <t>ital=plate2</t>
  </si>
  <si>
    <t>NTC:failed</t>
  </si>
  <si>
    <t>plate 1 avg:</t>
  </si>
  <si>
    <t>threshold=0.1</t>
  </si>
  <si>
    <t>weird melt</t>
  </si>
  <si>
    <t>2nd plate used</t>
  </si>
  <si>
    <t>300 nM primers</t>
  </si>
  <si>
    <t>31 cycles</t>
  </si>
  <si>
    <t>30.24.3A</t>
  </si>
  <si>
    <t>103% pcr</t>
  </si>
  <si>
    <t>E^Ct</t>
  </si>
  <si>
    <t>stdev/avg</t>
  </si>
  <si>
    <t>1/(E^Ct)</t>
  </si>
  <si>
    <t>pcr efficiency: 104%</t>
  </si>
  <si>
    <t>2.04=effic factor</t>
  </si>
  <si>
    <t>in 25 ul h20</t>
  </si>
  <si>
    <t>gel</t>
  </si>
  <si>
    <t>good</t>
  </si>
  <si>
    <t>redo</t>
  </si>
  <si>
    <t>total RNA</t>
  </si>
  <si>
    <t>0.5 ul, 5 U</t>
  </si>
  <si>
    <t>with TRI-</t>
  </si>
  <si>
    <t>Reagent and</t>
  </si>
  <si>
    <t>2ul pellet</t>
  </si>
  <si>
    <t xml:space="preserve">paint with 1 </t>
  </si>
  <si>
    <t>75% ethanol</t>
  </si>
  <si>
    <t xml:space="preserve">wash and 1 </t>
  </si>
  <si>
    <t>100% wash in</t>
  </si>
  <si>
    <t>27.6.1C</t>
  </si>
  <si>
    <t>27.6.2A</t>
  </si>
  <si>
    <t>27.6.2B</t>
  </si>
  <si>
    <t>27.6.2C</t>
  </si>
  <si>
    <t>27.6.3A</t>
  </si>
  <si>
    <t>S. hystrix thermal stress project</t>
  </si>
  <si>
    <t>1.9 = amp factor</t>
  </si>
  <si>
    <t>avg plate 2</t>
  </si>
  <si>
    <t>A</t>
  </si>
  <si>
    <t>27 post-hoc</t>
  </si>
  <si>
    <t>30.48.3C</t>
  </si>
  <si>
    <t>Pre DNase RNA</t>
  </si>
  <si>
    <t>260/280</t>
  </si>
  <si>
    <t>260/230</t>
  </si>
  <si>
    <t>Efficiency</t>
  </si>
  <si>
    <t>pcr effic: 98.3%</t>
  </si>
  <si>
    <t>500 nM primers and 30 cycles with 59C for 60 s</t>
  </si>
  <si>
    <t>best amps:</t>
  </si>
  <si>
    <t>62.5C anneal</t>
  </si>
  <si>
    <t>500 nM primers</t>
  </si>
  <si>
    <t>0.1 ul BSA</t>
  </si>
  <si>
    <t>threshold=</t>
  </si>
  <si>
    <t>27.24.1A</t>
  </si>
  <si>
    <t>27.24.1B</t>
  </si>
  <si>
    <t>27.24.1C</t>
  </si>
  <si>
    <t>27.24.2A</t>
  </si>
  <si>
    <t>27.24.2B</t>
  </si>
  <si>
    <t>27.24.2C</t>
  </si>
  <si>
    <t>30.24.2A</t>
  </si>
  <si>
    <t>30.24.2B</t>
  </si>
  <si>
    <t>25 ul h20</t>
  </si>
  <si>
    <t>failed</t>
  </si>
  <si>
    <t>10 ul 2x</t>
  </si>
  <si>
    <t>power sybr</t>
  </si>
  <si>
    <t>150 nM</t>
  </si>
  <si>
    <t>SHHSP70F1</t>
  </si>
  <si>
    <t>SHHSP70R1</t>
  </si>
  <si>
    <t>put on ice</t>
  </si>
  <si>
    <t>and precipita-</t>
  </si>
  <si>
    <t>about 6.5 ug RNA from 65 mg tissue</t>
  </si>
  <si>
    <t>TRI-Reagent:250/250</t>
  </si>
  <si>
    <t>TRI-Reagent/ pellet paint</t>
  </si>
  <si>
    <t>manual</t>
  </si>
  <si>
    <t>some genomic was in RNA</t>
  </si>
  <si>
    <t>Ct1</t>
  </si>
  <si>
    <t>Ct2</t>
  </si>
  <si>
    <t>Ct3</t>
  </si>
  <si>
    <t>Ct avg</t>
  </si>
  <si>
    <t>Stdev</t>
  </si>
  <si>
    <t>comment</t>
  </si>
  <si>
    <t>Name</t>
  </si>
  <si>
    <t>Dnased</t>
  </si>
  <si>
    <t xml:space="preserve">to omit </t>
  </si>
  <si>
    <t>undet</t>
  </si>
  <si>
    <t>pcr efficiency: 97%</t>
  </si>
  <si>
    <t>27.48.1A</t>
  </si>
  <si>
    <t>27.48.1B</t>
  </si>
  <si>
    <t>27.48.1C</t>
  </si>
  <si>
    <t>27.48.2A</t>
  </si>
  <si>
    <t>TRI-Reagent: 1/10</t>
  </si>
  <si>
    <t>Re-extraction/Precipitation</t>
  </si>
  <si>
    <t xml:space="preserve">avg ct plate 1: </t>
  </si>
  <si>
    <t xml:space="preserve">avg ct plate 2: </t>
  </si>
  <si>
    <t>primer dimers</t>
  </si>
  <si>
    <t>pcr efficiency: 102%</t>
  </si>
  <si>
    <t>2.02=factor</t>
  </si>
  <si>
    <t>50C for 2 min</t>
  </si>
  <si>
    <t>95C for 10 min</t>
  </si>
  <si>
    <t>59C for 60s</t>
  </si>
  <si>
    <t>0.1 ul bsa</t>
  </si>
  <si>
    <t>27.48.2B</t>
  </si>
  <si>
    <t>27.48.2C</t>
  </si>
  <si>
    <t>27.48.3A</t>
  </si>
  <si>
    <t>27.48.3B</t>
  </si>
  <si>
    <t>1/-1000</t>
  </si>
  <si>
    <t>NTC</t>
  </si>
  <si>
    <t>t= 6 hrs</t>
  </si>
  <si>
    <t>Average</t>
  </si>
  <si>
    <t>redo also failed</t>
  </si>
  <si>
    <t>HWM</t>
  </si>
  <si>
    <t>stdev</t>
  </si>
  <si>
    <t>serror</t>
  </si>
  <si>
    <t>HMW but genomic in RNA</t>
  </si>
  <si>
    <t>replace orig</t>
  </si>
  <si>
    <t>use original</t>
  </si>
  <si>
    <t>10 ul</t>
  </si>
  <si>
    <t>0.2 ul, 2 U</t>
  </si>
  <si>
    <t>DNase</t>
  </si>
  <si>
    <t>HMW but with RNA contam</t>
  </si>
  <si>
    <t>amp factor: 1.97</t>
  </si>
  <si>
    <t>36 cycles</t>
  </si>
  <si>
    <t>genomic in RNA and vice versa</t>
  </si>
  <si>
    <t>redid without re-</t>
  </si>
  <si>
    <t>27.24.3B</t>
  </si>
  <si>
    <t>27.24.3C</t>
  </si>
  <si>
    <t>33 cycles</t>
  </si>
  <si>
    <t>avg ct plate 3:</t>
  </si>
  <si>
    <t>temp</t>
  </si>
  <si>
    <t>35 cycles</t>
  </si>
  <si>
    <t>30.24.3B</t>
  </si>
  <si>
    <t>30.24.3C</t>
  </si>
  <si>
    <t>avg plate 3</t>
  </si>
  <si>
    <t>thermocycle</t>
  </si>
  <si>
    <t>efficiency</t>
  </si>
  <si>
    <t>from plate 1 to</t>
  </si>
  <si>
    <t>host 1/(E^Ct)</t>
  </si>
  <si>
    <t>30.48.2C</t>
  </si>
  <si>
    <t>30.48.3A</t>
  </si>
  <si>
    <t>30.48.3B</t>
  </si>
  <si>
    <t>0.1 ul BSA, exact same conditions as with hsp70Z</t>
  </si>
  <si>
    <t>plate 3</t>
  </si>
  <si>
    <t>then standard precipi-</t>
  </si>
  <si>
    <t>Collections were made on June 25 and 26 2009</t>
  </si>
  <si>
    <t>t = 0</t>
  </si>
  <si>
    <t>0.4 ul, 4 U</t>
  </si>
  <si>
    <t>0.3 ul, 3 U</t>
  </si>
  <si>
    <t>re-extracted</t>
  </si>
  <si>
    <t>with TRIzol</t>
  </si>
  <si>
    <t>and 2 ul</t>
  </si>
  <si>
    <t>pellet paint</t>
  </si>
  <si>
    <t>with 1 75%</t>
  </si>
  <si>
    <t>ethanol wash</t>
  </si>
  <si>
    <t>extraction and pooled</t>
  </si>
  <si>
    <t>with original</t>
  </si>
  <si>
    <t>heat destroy/precipitation</t>
  </si>
  <si>
    <t>smear</t>
  </si>
  <si>
    <t>RT reactions</t>
  </si>
  <si>
    <t>27.6.3B</t>
  </si>
  <si>
    <t>27.6.3C</t>
  </si>
  <si>
    <t>30.6.1A</t>
  </si>
  <si>
    <t>30.6.1B</t>
  </si>
  <si>
    <t>30.6.1C</t>
  </si>
  <si>
    <t>30.6.2A</t>
  </si>
  <si>
    <t>2 ul undiluted</t>
  </si>
  <si>
    <t>27.48.3C</t>
  </si>
  <si>
    <t>30.48.1A</t>
  </si>
  <si>
    <t>30.48.1B</t>
  </si>
  <si>
    <t>30.48.1C</t>
  </si>
  <si>
    <t>30.48.2A</t>
  </si>
  <si>
    <t>30.48.2B</t>
  </si>
  <si>
    <t>host/sym</t>
  </si>
  <si>
    <t>30.6.3C</t>
  </si>
  <si>
    <t>27.12.1A</t>
  </si>
  <si>
    <t>27.12.1B</t>
  </si>
  <si>
    <t>27.12.1C</t>
  </si>
  <si>
    <t>27.12.2A</t>
  </si>
  <si>
    <t>27.12.2B</t>
  </si>
  <si>
    <t>27.12.2C</t>
  </si>
  <si>
    <t>27.12.3A</t>
  </si>
  <si>
    <t>27.12.3B</t>
  </si>
  <si>
    <t>27.12.3C</t>
  </si>
  <si>
    <t>30.12.1A</t>
  </si>
  <si>
    <t>30.12.1B</t>
  </si>
  <si>
    <t>30.12.1C</t>
  </si>
  <si>
    <t>30.12.2A</t>
  </si>
  <si>
    <t>30.12.2B</t>
  </si>
  <si>
    <t>30.12.2C</t>
  </si>
  <si>
    <t>30.12.3A</t>
  </si>
  <si>
    <t>30.12.3B</t>
  </si>
  <si>
    <t>30.24.2C</t>
  </si>
  <si>
    <t>27.0.3C</t>
  </si>
  <si>
    <t>30.0.1A</t>
  </si>
  <si>
    <t>30.0.1B</t>
  </si>
  <si>
    <t>30.0.1C</t>
  </si>
  <si>
    <t>30.0.2A</t>
  </si>
  <si>
    <t>30.0.2B</t>
  </si>
  <si>
    <t>30.0.2C</t>
  </si>
  <si>
    <t>30.0.3A</t>
  </si>
  <si>
    <t>30.0.3B</t>
  </si>
  <si>
    <t>30.0.3C</t>
  </si>
  <si>
    <t>27.6.1A</t>
  </si>
  <si>
    <t>27.6.1B</t>
  </si>
  <si>
    <t>weird amp</t>
  </si>
  <si>
    <t>not visible</t>
  </si>
  <si>
    <t>ok</t>
  </si>
  <si>
    <t>don't use BSA</t>
  </si>
  <si>
    <t>w/2nd plate</t>
  </si>
  <si>
    <t>average ct plate1</t>
  </si>
  <si>
    <t>2nd plate</t>
  </si>
  <si>
    <t xml:space="preserve"> 2nd plate avg Ct</t>
  </si>
  <si>
    <t>30.24.1A</t>
  </si>
  <si>
    <t>30.24.1B</t>
  </si>
  <si>
    <t>30.24.1C</t>
  </si>
  <si>
    <t>1/-100</t>
  </si>
  <si>
    <t>30.6.2B</t>
  </si>
  <si>
    <t>30.6.2C</t>
  </si>
  <si>
    <t>30.6.3A</t>
  </si>
  <si>
    <t>30.6.3B</t>
  </si>
  <si>
    <t>use 500 nM</t>
  </si>
  <si>
    <t>primers on 3rd</t>
  </si>
  <si>
    <t>plate</t>
  </si>
  <si>
    <t>pcr effic: 89.5%</t>
  </si>
  <si>
    <t>time (hrs)</t>
  </si>
  <si>
    <t>tank average</t>
  </si>
  <si>
    <t>t= 12 hrs</t>
  </si>
  <si>
    <t>time</t>
  </si>
  <si>
    <t>tank 1 temp</t>
  </si>
  <si>
    <t>tank 2 temp</t>
  </si>
  <si>
    <t>tank 3 temp</t>
  </si>
  <si>
    <t>27C tanks</t>
  </si>
  <si>
    <t>lights on</t>
  </si>
  <si>
    <t>lights off</t>
  </si>
  <si>
    <t>average</t>
  </si>
  <si>
    <t>standard dev</t>
  </si>
  <si>
    <t>collect time</t>
  </si>
  <si>
    <t>date</t>
  </si>
  <si>
    <t>27.0.1A</t>
  </si>
  <si>
    <t>27.0.1B</t>
  </si>
  <si>
    <t>27.0.1C</t>
  </si>
  <si>
    <t>27.0.2A</t>
  </si>
  <si>
    <t>27.0.2B</t>
  </si>
  <si>
    <t>27.0.2C</t>
  </si>
  <si>
    <t>27.0.3A</t>
  </si>
  <si>
    <t>27.0.3B</t>
  </si>
  <si>
    <t>amp factor</t>
  </si>
  <si>
    <t>ng RNA treated</t>
  </si>
  <si>
    <t>Post DNase</t>
  </si>
  <si>
    <t>NA</t>
  </si>
  <si>
    <t>plate 2 redo</t>
  </si>
  <si>
    <t>112%, 2.12</t>
  </si>
  <si>
    <t>variance</t>
  </si>
  <si>
    <t>105% PCR</t>
  </si>
  <si>
    <t>amp factor=2.05</t>
  </si>
  <si>
    <t>110% PCR</t>
  </si>
  <si>
    <t>20% decrease</t>
  </si>
  <si>
    <t>low [RNA]</t>
  </si>
  <si>
    <t>0.35 ul, 3.5 U</t>
  </si>
  <si>
    <t>bad</t>
  </si>
  <si>
    <t>use new</t>
  </si>
  <si>
    <t>redo on 7/12</t>
  </si>
  <si>
    <t>65C for 10 min and</t>
  </si>
  <si>
    <t>Sym/total hsp</t>
  </si>
  <si>
    <t>Sample name</t>
  </si>
  <si>
    <t>temperature</t>
  </si>
  <si>
    <t>tank</t>
  </si>
  <si>
    <t>Least Squares Means Table</t>
  </si>
  <si>
    <t>Level</t>
  </si>
  <si>
    <t>Least Sq Mean</t>
  </si>
  <si>
    <t>Std Error</t>
  </si>
  <si>
    <t>27,0</t>
  </si>
  <si>
    <t>27,12</t>
  </si>
  <si>
    <t>27,24</t>
  </si>
  <si>
    <t>27,48</t>
  </si>
  <si>
    <t>27,6</t>
  </si>
  <si>
    <t>30,0</t>
  </si>
  <si>
    <t>30,12</t>
  </si>
  <si>
    <t>30,24</t>
  </si>
  <si>
    <t>30,48</t>
  </si>
  <si>
    <t>30,6</t>
  </si>
  <si>
    <t>from JMP 2-way ANOVA on log-transformed data after removing two outliers</t>
  </si>
  <si>
    <t>Effect Tests</t>
  </si>
  <si>
    <t>Source</t>
  </si>
  <si>
    <t>Nparm</t>
  </si>
  <si>
    <t>DF</t>
  </si>
  <si>
    <t>Sum of Squares</t>
  </si>
  <si>
    <t>F Ratio</t>
  </si>
  <si>
    <t>Prob &gt; F</t>
  </si>
  <si>
    <t>&lt;.0001</t>
  </si>
  <si>
    <t>temperature*time</t>
  </si>
  <si>
    <t>LSMeans Differences Tukey HSD</t>
  </si>
  <si>
    <t>Alpha=</t>
  </si>
  <si>
    <t>0.050   Q=</t>
  </si>
  <si>
    <t>3.27256LSMean[i] By LSMean[j]</t>
  </si>
  <si>
    <t>Mean[i]-Mean[j],Std Err Dif,Lower CL Dif,Upper CL Dif</t>
  </si>
  <si>
    <t>0,0,0,0</t>
  </si>
  <si>
    <t>0.1962,0.17046,-0.3616,0.75403</t>
  </si>
  <si>
    <t>-0.0051,0.10279,-0.3415,0.33129</t>
  </si>
  <si>
    <t>0.14123,0.10279,-0.1952,0.47761</t>
  </si>
  <si>
    <t>0.40383,0.10279,0.06745,0.74021</t>
  </si>
  <si>
    <t>-0.0232,0.11492,-0.3992,0.35292</t>
  </si>
  <si>
    <t>-0.0154,0.10595,-0.3622,0.33129</t>
  </si>
  <si>
    <t>0.04457,0.10595,-0.3022,0.3913</t>
  </si>
  <si>
    <t>0.09651,0.10279,-0.2399,0.43289</t>
  </si>
  <si>
    <t>0.37855,0.10595,0.03182,0.72529</t>
  </si>
  <si>
    <t>0.20129,0.17046,-0.3565,0.75911</t>
  </si>
  <si>
    <t>0.00509,0.10279,-0.3313,0.34147</t>
  </si>
  <si>
    <t>0.14632,0.10279,-0.1901,0.4827</t>
  </si>
  <si>
    <t>0.40892,0.10279,0.07254,0.7453</t>
  </si>
  <si>
    <t>-0.0181,0.11492,-0.3942,0.35801</t>
  </si>
  <si>
    <t>-0.0104,0.10595,-0.3571,0.33638</t>
  </si>
  <si>
    <t>0.04966,0.10595,-0.2971,0.39639</t>
  </si>
  <si>
    <t>0.1016,0.10279,-0.2348,0.43798</t>
  </si>
  <si>
    <t>0.38364,0.10595,0.03691,0.73037</t>
  </si>
  <si>
    <t>0.05498,0.17046,-0.5028,0.6128</t>
  </si>
  <si>
    <t>-0.1412,0.10279,-0.4776,0.19515</t>
  </si>
  <si>
    <t>-0.1463,0.10279,-0.4827,0.19006</t>
  </si>
  <si>
    <t>0.2626,0.10279,-0.0738,0.59898</t>
  </si>
  <si>
    <t>-0.1644,0.11492,-0.5405,0.2117</t>
  </si>
  <si>
    <t>-0.1567,0.10595,-0.5034,0.19006</t>
  </si>
  <si>
    <t>-0.0967,0.10595,-0.4434,0.25008</t>
  </si>
  <si>
    <t>-0.0447,0.10279,-0.3811,0.29166</t>
  </si>
  <si>
    <t>0.23733,0.10595,-0.1094,0.58406</t>
  </si>
  <si>
    <t>-0.2076,0.17046,-0.7654,0.3502</t>
  </si>
  <si>
    <t>-0.4038,0.10279,-0.7402,-0.0674</t>
  </si>
  <si>
    <t>-0.4089,0.10279,-0.7453,-0.0725</t>
  </si>
  <si>
    <t>-0.2626,0.10279,-0.599,0.07378</t>
  </si>
  <si>
    <t>-0.427,0.11492,-0.8031,-0.0509</t>
  </si>
  <si>
    <t>-0.4193,0.10595,-0.766,-0.0725</t>
  </si>
  <si>
    <t>-0.3593,0.10595,-0.706,-0.0125</t>
  </si>
  <si>
    <t>-0.3073,0.10279,-0.6437,0.02906</t>
  </si>
  <si>
    <t>-0.0253,0.10595,-0.372,0.32146</t>
  </si>
  <si>
    <t>0.21936,0.17803,-0.3633,0.80199</t>
  </si>
  <si>
    <t>0.02316,0.11492,-0.3529,0.39924</t>
  </si>
  <si>
    <t>0.01807,0.11492,-0.358,0.39416</t>
  </si>
  <si>
    <t>0.16439,0.11492,-0.2117,0.54047</t>
  </si>
  <si>
    <t>0.42699,0.11492,0.0509,0.80307</t>
  </si>
  <si>
    <t>0.00771,0.11776,-0.3777,0.39309</t>
  </si>
  <si>
    <t>0.06773,0.11776,-0.3176,0.4531</t>
  </si>
  <si>
    <t>0.11967,0.11492,-0.2564,0.49576</t>
  </si>
  <si>
    <t>0.40171,0.11776,0.01634,0.78709</t>
  </si>
  <si>
    <t>0.21165,0.17238,-0.3525,0.77578</t>
  </si>
  <si>
    <t>0.01545,0.10595,-0.3313,0.36218</t>
  </si>
  <si>
    <t>0.01036,0.10595,-0.3364,0.35709</t>
  </si>
  <si>
    <t>0.15667,0.10595,-0.1901,0.50341</t>
  </si>
  <si>
    <t>0.41927,0.10595,0.07254,0.76601</t>
  </si>
  <si>
    <t>-0.0077,0.11776,-0.3931,0.37766</t>
  </si>
  <si>
    <t>0.06002,0.10902,-0.2968,0.4168</t>
  </si>
  <si>
    <t>0.11196,0.10595,-0.2348,0.45869</t>
  </si>
  <si>
    <t>0.394,0.10902,0.03721,0.75078</t>
  </si>
  <si>
    <t>0.15163,0.17238,-0.4125,0.71576</t>
  </si>
  <si>
    <t>-0.0446,0.10595,-0.3913,0.30216</t>
  </si>
  <si>
    <t>-0.0497,0.10595,-0.3964,0.29707</t>
  </si>
  <si>
    <t>0.09666,0.10595,-0.2501,0.44339</t>
  </si>
  <si>
    <t>0.35926,0.10595,0.01252,0.70599</t>
  </si>
  <si>
    <t>-0.0677,0.11776,-0.4531,0.31764</t>
  </si>
  <si>
    <t>-0.06,0.10902,-0.4168,0.29677</t>
  </si>
  <si>
    <t>0.05194,0.10595,-0.2948,0.39867</t>
  </si>
  <si>
    <t>0.33398,0.10902,-0.0228,0.69077</t>
  </si>
  <si>
    <t>0.09969,0.17046,-0.4581,0.65751</t>
  </si>
  <si>
    <t>-0.0965,0.10279,-0.4329,0.23987</t>
  </si>
  <si>
    <t>-0.1016,0.10279,-0.438,0.23478</t>
  </si>
  <si>
    <t>0.04472,0.10279,-0.2917,0.3811</t>
  </si>
  <si>
    <t>0.30732,0.10279,-0.0291,0.6437</t>
  </si>
  <si>
    <t>-0.1197,0.11492,-0.4958,0.25641</t>
  </si>
  <si>
    <t>-0.112,0.10595,-0.4587,0.23478</t>
  </si>
  <si>
    <t>-0.0519,0.10595,-0.3987,0.29479</t>
  </si>
  <si>
    <t>0.28204,0.10595,-0.0647,0.62877</t>
  </si>
  <si>
    <t>-0.1824,0.17238,-0.7465,0.38178</t>
  </si>
  <si>
    <t>-0.3786,0.10595,-0.7253,-0.0318</t>
  </si>
  <si>
    <t>-0.3836,0.10595,-0.7304,-0.0369</t>
  </si>
  <si>
    <t>-0.2373,0.10595,-0.5841,0.10941</t>
  </si>
  <si>
    <t>0.02527,0.10595,-0.3215,0.37201</t>
  </si>
  <si>
    <t>-0.4017,0.11776,-0.7871,-0.0163</t>
  </si>
  <si>
    <t>-0.394,0.10902,-0.7508,-0.0372</t>
  </si>
  <si>
    <t>-0.334,0.10902,-0.6908,0.0228</t>
  </si>
  <si>
    <t>-0.282,0.10595,-0.6288,0.06469</t>
  </si>
  <si>
    <t>C</t>
  </si>
  <si>
    <t>Analysis of Variance</t>
  </si>
  <si>
    <t>Mean Square</t>
  </si>
  <si>
    <t>Model</t>
  </si>
  <si>
    <t>C. Total</t>
  </si>
  <si>
    <t>Sym/total hsp (DNA)</t>
  </si>
  <si>
    <t>DNase method</t>
  </si>
  <si>
    <t>Sym 1/(E^Ct)</t>
  </si>
  <si>
    <t>host 1/E^Ct</t>
  </si>
  <si>
    <t>host/total hsp70</t>
  </si>
  <si>
    <t>sym 1/(E^Ct)</t>
  </si>
  <si>
    <t>97 +/- 2% from host</t>
  </si>
  <si>
    <t xml:space="preserve">Samples highlighted in bold were removed from analysis. </t>
  </si>
  <si>
    <t>Total RNA (g)</t>
  </si>
  <si>
    <t>K/I/L</t>
  </si>
  <si>
    <t>Log-transformed values</t>
  </si>
  <si>
    <t>back transformed</t>
  </si>
  <si>
    <t>back trans+</t>
  </si>
  <si>
    <t>back trans -</t>
  </si>
  <si>
    <t>Total RNA (ug)</t>
  </si>
  <si>
    <t>M/P/Q</t>
  </si>
  <si>
    <t>Omitted 3 outliers from analysis</t>
  </si>
  <si>
    <t>removed 4 outliers in addition to the samples removed from all analyses</t>
  </si>
  <si>
    <t>trailing average</t>
  </si>
  <si>
    <t>host Average</t>
  </si>
  <si>
    <t xml:space="preserve"> sym average</t>
  </si>
  <si>
    <t>white diamond = control coral</t>
  </si>
  <si>
    <t>black square = high coral</t>
  </si>
  <si>
    <t>white triangle = control Sym</t>
  </si>
  <si>
    <t>black circle = high Sym</t>
  </si>
  <si>
    <t>log</t>
  </si>
  <si>
    <t>AB</t>
  </si>
  <si>
    <t>BC</t>
  </si>
  <si>
    <t>time groups</t>
  </si>
  <si>
    <t>averge gcr</t>
  </si>
  <si>
    <t>host log</t>
  </si>
  <si>
    <t>sym log</t>
  </si>
  <si>
    <t>host corr</t>
  </si>
  <si>
    <t>sym corr</t>
  </si>
  <si>
    <t>GCR avg</t>
  </si>
  <si>
    <t>27 and 30 time 0</t>
  </si>
  <si>
    <t>27 and 30 time 6</t>
  </si>
  <si>
    <t>27 and 30 time 12</t>
  </si>
  <si>
    <t>sterror</t>
  </si>
  <si>
    <t>27 and 30 time 24</t>
  </si>
  <si>
    <t>27 and 30 time 48</t>
  </si>
  <si>
    <t>Mean</t>
  </si>
  <si>
    <t>back trans</t>
  </si>
  <si>
    <t>stdev (+)</t>
  </si>
  <si>
    <t>log se</t>
  </si>
  <si>
    <t>stderr (+)</t>
  </si>
  <si>
    <t>stdev(-)</t>
  </si>
  <si>
    <t>Symbiodinium GCP</t>
  </si>
  <si>
    <t>transcription</t>
  </si>
  <si>
    <t>transcription factor</t>
  </si>
  <si>
    <t>translation</t>
  </si>
  <si>
    <t>development</t>
  </si>
  <si>
    <t>Symbiodinium</t>
  </si>
  <si>
    <t>cytoskeleton</t>
  </si>
  <si>
    <t>protein homeostasis</t>
  </si>
  <si>
    <t>photosynthesis</t>
  </si>
  <si>
    <t>transport</t>
  </si>
  <si>
    <t>%</t>
  </si>
  <si>
    <t>count</t>
  </si>
  <si>
    <t>total</t>
  </si>
  <si>
    <t>total contigs</t>
  </si>
  <si>
    <t>signal transduction</t>
  </si>
  <si>
    <t>unknown function</t>
  </si>
  <si>
    <t>metabolism</t>
  </si>
  <si>
    <t>blood clotting</t>
  </si>
  <si>
    <t>calcium</t>
  </si>
  <si>
    <t>cell division</t>
  </si>
  <si>
    <t>DNA repair</t>
  </si>
  <si>
    <t>extracellular interactions</t>
  </si>
  <si>
    <t>lipid metabolism</t>
  </si>
  <si>
    <t>receptors</t>
  </si>
  <si>
    <t>stress</t>
  </si>
  <si>
    <t>structural</t>
  </si>
  <si>
    <t>transporter</t>
  </si>
  <si>
    <t>coral functional groups</t>
  </si>
  <si>
    <t>DNA structure</t>
  </si>
  <si>
    <t xml:space="preserve">immunity </t>
  </si>
  <si>
    <t>muscle</t>
  </si>
  <si>
    <t xml:space="preserve">ribosomal </t>
  </si>
  <si>
    <t>multiple roles</t>
  </si>
  <si>
    <t xml:space="preserve">mitochondrial </t>
  </si>
  <si>
    <t>molecular trafficking</t>
  </si>
  <si>
    <t>receptors/ membrane proteins</t>
  </si>
  <si>
    <t>other functions</t>
  </si>
  <si>
    <t>unknown</t>
  </si>
  <si>
    <t>total coral</t>
  </si>
  <si>
    <t>% identifiable</t>
  </si>
  <si>
    <t>%identifiable to known function</t>
  </si>
  <si>
    <t>Total ESTs</t>
  </si>
  <si>
    <t>passed QC</t>
  </si>
  <si>
    <t>belong to non-culture contaim</t>
  </si>
  <si>
    <t>contigs assembled</t>
  </si>
  <si>
    <t>Sym</t>
  </si>
  <si>
    <t xml:space="preserve">coral </t>
  </si>
  <si>
    <t>bacterial</t>
  </si>
  <si>
    <t>holobiont</t>
  </si>
  <si>
    <t>8.5% Symbiodinium</t>
  </si>
  <si>
    <t>63% coral</t>
  </si>
  <si>
    <t>10.5% bacterial</t>
  </si>
  <si>
    <t>18% either coral or Sym</t>
  </si>
  <si>
    <t>of 402 host genes</t>
  </si>
  <si>
    <t>296 annotated</t>
  </si>
  <si>
    <t>106 unannotated</t>
  </si>
  <si>
    <t>assuming 87.5 % of the holobiont contigs are of the coral</t>
  </si>
  <si>
    <t>total sym</t>
  </si>
  <si>
    <t>repurified in June 2011 with AXYGEN</t>
  </si>
  <si>
    <t>PCR clean-up kit, eluting into 30 ul</t>
  </si>
  <si>
    <t>pre-warmed "eluent" and with drying</t>
  </si>
  <si>
    <t>in oven for</t>
  </si>
  <si>
    <t xml:space="preserve">several minutes to </t>
  </si>
  <si>
    <t>evaporate residual ethanol.</t>
  </si>
  <si>
    <t xml:space="preserve">All samples from 27, time 0 are missing. </t>
  </si>
  <si>
    <t>[DNA] ng/ul</t>
  </si>
  <si>
    <t>total DNA</t>
  </si>
  <si>
    <t>ted immediately</t>
  </si>
  <si>
    <t>RNA/DNA</t>
  </si>
  <si>
    <t>missing</t>
  </si>
  <si>
    <t>30-time 0</t>
  </si>
  <si>
    <t>27- time 6</t>
  </si>
  <si>
    <t>30- time 6</t>
  </si>
  <si>
    <t>27- time 12</t>
  </si>
  <si>
    <t>30-time 12</t>
  </si>
  <si>
    <t>27-time 24</t>
  </si>
  <si>
    <t>30- time 24</t>
  </si>
  <si>
    <t>27- time 48</t>
  </si>
  <si>
    <t>30- time 48</t>
  </si>
  <si>
    <t>FAILED</t>
  </si>
  <si>
    <t>27- time 0</t>
  </si>
  <si>
    <t>Failed</t>
  </si>
  <si>
    <t xml:space="preserve">missing </t>
  </si>
  <si>
    <t>log avg</t>
  </si>
  <si>
    <t>10 ul with RT kit from ABI followed their recommendations with random primers</t>
  </si>
  <si>
    <t>back-trans</t>
  </si>
  <si>
    <t>serror+</t>
  </si>
  <si>
    <t>serror-</t>
  </si>
  <si>
    <t>On 7-18-11 pooled pseudo-replicate RNAs from each tank, diluted to 100 ul, when necessary and purified w/ Genemark plant kit, eluting into 30 ul DEPC-treated H20</t>
  </si>
  <si>
    <t>[RNA]</t>
  </si>
  <si>
    <t>27.0 tank 1</t>
  </si>
  <si>
    <t>27.0 tank 2</t>
  </si>
  <si>
    <t>27.0 tank 3</t>
  </si>
  <si>
    <t>30.0 tank 1</t>
  </si>
  <si>
    <t>30.0 tank 2</t>
  </si>
  <si>
    <t>30.0 tank 3</t>
  </si>
  <si>
    <t>27.6 tank 1</t>
  </si>
  <si>
    <t>27.6 tank 2</t>
  </si>
  <si>
    <t>27.6 tank 3</t>
  </si>
  <si>
    <t>30.6 tank 1</t>
  </si>
  <si>
    <t>30.6 tank 2</t>
  </si>
  <si>
    <t>30.6 tank 3</t>
  </si>
  <si>
    <t>comments</t>
  </si>
  <si>
    <t>too low</t>
  </si>
  <si>
    <t>low 260/280</t>
  </si>
  <si>
    <t>dilution to 20 ng/ul</t>
  </si>
  <si>
    <t>h20 added</t>
  </si>
  <si>
    <t>contigs</t>
  </si>
  <si>
    <t>clones</t>
  </si>
  <si>
    <t>ribosomal</t>
  </si>
  <si>
    <t>calcium regulation</t>
  </si>
  <si>
    <t>DNA structure/repair</t>
  </si>
  <si>
    <t>immunity</t>
  </si>
  <si>
    <t xml:space="preserve">total </t>
  </si>
  <si>
    <t>identified clones</t>
  </si>
  <si>
    <t>unidentified</t>
  </si>
  <si>
    <t>%identified</t>
  </si>
  <si>
    <t>contig count</t>
  </si>
  <si>
    <t>clone count</t>
  </si>
  <si>
    <t>DNA synthesis</t>
  </si>
  <si>
    <t>unknowm</t>
  </si>
  <si>
    <t>other</t>
  </si>
  <si>
    <t>total identified</t>
  </si>
  <si>
    <t>8% Symbiodinium</t>
  </si>
  <si>
    <t>67% coral</t>
  </si>
  <si>
    <t>8.5% bacterial</t>
  </si>
  <si>
    <t>16.5% either coral or Symbiodinium</t>
  </si>
  <si>
    <t>excluding bacterial</t>
  </si>
  <si>
    <t>assuming</t>
  </si>
  <si>
    <t>89.7% of holobiont is from coral</t>
  </si>
  <si>
    <t>cora</t>
  </si>
  <si>
    <t>So basically 90% coral and 10% Symbiodinium</t>
  </si>
  <si>
    <t>including bacteria</t>
  </si>
  <si>
    <t>coral</t>
  </si>
  <si>
    <t>bacteria</t>
  </si>
  <si>
    <t>9.5% Symbiodinium</t>
  </si>
  <si>
    <t>82% coral</t>
  </si>
  <si>
    <t>27.12 tank 2</t>
  </si>
  <si>
    <t>27.12 tank 3</t>
  </si>
  <si>
    <t>30.12 tank 1</t>
  </si>
  <si>
    <t>30.12 tank 2</t>
  </si>
  <si>
    <t>30.12 tank 3</t>
  </si>
  <si>
    <t>27.24 tank 1</t>
  </si>
  <si>
    <t>27.24 tank 2</t>
  </si>
  <si>
    <t>27.24 tank 3</t>
  </si>
  <si>
    <t>30.24 tank 1</t>
  </si>
  <si>
    <t>30.24 tank 2</t>
  </si>
  <si>
    <t>30.24 tank 3</t>
  </si>
  <si>
    <t>27.48 tank 1</t>
  </si>
  <si>
    <t>27.48 tank 2</t>
  </si>
  <si>
    <t>27.48 tank 3</t>
  </si>
  <si>
    <t>30.48 tank 1</t>
  </si>
  <si>
    <t>30.48 tank 2</t>
  </si>
  <si>
    <t>30.48 tank 3</t>
  </si>
  <si>
    <t>27.12 tank 1</t>
  </si>
  <si>
    <t xml:space="preserve">On 9-29-11 pooled pseudo-replicate RNAs from each tank were pooled, dilute to 100 ul, and re-purified as above except RNA in lysis buffer and ethanol was kept at -20C overnight prior to purification, </t>
  </si>
  <si>
    <t xml:space="preserve">On 9-29-11, final 6 samples were pooled and repurified as above, with all steps occurring on the same day. </t>
  </si>
  <si>
    <t>sequence the last 6 on Illumina Genome Analyzer</t>
  </si>
  <si>
    <t>ug for Illumina</t>
  </si>
  <si>
    <t>Only need 0.1-4 ug for Tru-Seq kit</t>
  </si>
  <si>
    <t>ug for library</t>
  </si>
  <si>
    <t>ul to 3 ug</t>
  </si>
  <si>
    <t>rounded</t>
  </si>
  <si>
    <t>water to 50 ul</t>
  </si>
  <si>
    <t>actual amount used in libraries</t>
  </si>
  <si>
    <t>used 2 ul x 2</t>
  </si>
  <si>
    <t>times for Nano</t>
  </si>
  <si>
    <t>drop and 6 ul</t>
  </si>
  <si>
    <t>for 2.5%</t>
  </si>
  <si>
    <t>agarose gel</t>
  </si>
  <si>
    <t>100 v for 35 min</t>
  </si>
  <si>
    <t>[library]</t>
  </si>
  <si>
    <t>adaptor</t>
  </si>
  <si>
    <t>due to primer-dimers, did a gel extraction</t>
  </si>
  <si>
    <t>post gel extraction</t>
  </si>
  <si>
    <t>nM</t>
  </si>
  <si>
    <t>[bioanalyzer]</t>
  </si>
  <si>
    <t>prior to gel extraction</t>
  </si>
  <si>
    <t>update 8-2012: insufficient quantities for sequencing (project abandoned)</t>
  </si>
  <si>
    <t>sample</t>
  </si>
  <si>
    <t>treatment</t>
  </si>
  <si>
    <t xml:space="preserve">control </t>
  </si>
  <si>
    <t>high</t>
  </si>
  <si>
    <t>All cDNAs</t>
  </si>
  <si>
    <t>were dried in</t>
  </si>
  <si>
    <t>GenTegra tube</t>
  </si>
  <si>
    <t>Solaris Ct1</t>
  </si>
  <si>
    <t>Ctavg</t>
  </si>
  <si>
    <t>Ctstdev</t>
  </si>
  <si>
    <t>melt</t>
  </si>
  <si>
    <t>1/10 dilution</t>
  </si>
  <si>
    <t>1/100 dilution</t>
  </si>
  <si>
    <t>p-dimer/notes</t>
  </si>
  <si>
    <t>none/high stdev</t>
  </si>
  <si>
    <t>1/E^Ct*10^9</t>
  </si>
  <si>
    <t>1 w/ 2 peaks</t>
  </si>
  <si>
    <t>1 outlier</t>
  </si>
  <si>
    <t>higher than others</t>
  </si>
  <si>
    <t>high stand dev</t>
  </si>
  <si>
    <t>very low recovery</t>
  </si>
  <si>
    <t>psi/subunit III</t>
  </si>
  <si>
    <t>w/ EZ-Time Mastermix w/ROX</t>
  </si>
  <si>
    <t>125 nM primers</t>
  </si>
  <si>
    <t>63C annealing temp x 35 cycles</t>
  </si>
  <si>
    <t>0.05 manual threshold</t>
  </si>
  <si>
    <t>Time</t>
  </si>
  <si>
    <t>control stdev</t>
  </si>
  <si>
    <t>control serror</t>
  </si>
  <si>
    <t>high stdev</t>
  </si>
  <si>
    <t>high serror</t>
  </si>
  <si>
    <t>control avg</t>
  </si>
  <si>
    <t>high avg</t>
  </si>
  <si>
    <t>psI/Solaris</t>
  </si>
  <si>
    <t>psi/Solaris/Sym GCP</t>
  </si>
  <si>
    <t>threshold set manually at 0.075</t>
  </si>
  <si>
    <t>small @ 67, high stdev</t>
  </si>
  <si>
    <t>small @ 66</t>
  </si>
  <si>
    <t>small @ 67</t>
  </si>
  <si>
    <t>1 outlier removed</t>
  </si>
  <si>
    <t>normalized to Solaris only</t>
  </si>
  <si>
    <t>high std deviation</t>
  </si>
  <si>
    <t>insufficient mastermix</t>
  </si>
  <si>
    <t>w/EZ-TIME mastermix w/ROX,500 nM primers</t>
  </si>
  <si>
    <t>40 cycles at 95C for 15s, 59C for 60 s</t>
  </si>
  <si>
    <t>PCR efficiency is high, use 400 nM primers and 60C in future reactions</t>
  </si>
  <si>
    <t>rbcL Ct1</t>
  </si>
  <si>
    <t>rbcL/Solaris</t>
  </si>
  <si>
    <t>rbcL/Solaris/Sym GCP</t>
  </si>
  <si>
    <t xml:space="preserve">32 cycles of 95C for 15s, 60.5C for 60s </t>
  </si>
  <si>
    <t>EZ-TIME real-time SYBR mix w/ROX</t>
  </si>
  <si>
    <t>200 nM primers, 0 BSA</t>
  </si>
  <si>
    <t>rbcL normalized to Solaris only</t>
  </si>
  <si>
    <t>small @ 66-67C</t>
  </si>
  <si>
    <t>small @ 67-68</t>
  </si>
  <si>
    <t>small @67</t>
  </si>
  <si>
    <t>outlier sample?</t>
  </si>
  <si>
    <t>114% PCR, use 61C in future reactions</t>
  </si>
  <si>
    <t>Sym hsp70</t>
  </si>
  <si>
    <t>DNA Ct2</t>
  </si>
  <si>
    <t>DNACt3</t>
  </si>
  <si>
    <t>1/E^Ct</t>
  </si>
  <si>
    <t>Sym GCP</t>
  </si>
  <si>
    <t>host GCP</t>
  </si>
  <si>
    <t>SH hsp70</t>
  </si>
  <si>
    <t>host Ct2</t>
  </si>
  <si>
    <t>and resuspended</t>
  </si>
  <si>
    <t>in 80 ul DEPC-</t>
  </si>
  <si>
    <t>treated H20</t>
  </si>
  <si>
    <t>at ULL</t>
  </si>
  <si>
    <t>Mastermix</t>
  </si>
  <si>
    <t>10 ul EZ-Time SYBR Green mastermix w/ROX</t>
  </si>
  <si>
    <t>1 ul 10 uM hsp70z-long-F1 (500 nM)</t>
  </si>
  <si>
    <t>1 ul 10 uM hsp70z-long-R1 (500 nM)</t>
  </si>
  <si>
    <t>2 ul DNA (10 ng/ul) = 20 ng/reaction</t>
  </si>
  <si>
    <t>6 ul H20</t>
  </si>
  <si>
    <t>Thermocycling</t>
  </si>
  <si>
    <t>95C for 10 min x 1 cycle</t>
  </si>
  <si>
    <t>95C for 15s, 62.5C for 60s x 40 cycles</t>
  </si>
  <si>
    <t>1 ul 10 uM SH-hsp70-F1 (500 nM)</t>
  </si>
  <si>
    <t>1 ul 10 uM SH-hsp70-R1 (500 nM)</t>
  </si>
  <si>
    <t>95C for 15s,59C for 60s x 30 cycles</t>
  </si>
  <si>
    <t>Host GCP</t>
  </si>
  <si>
    <t>use average of original data</t>
  </si>
  <si>
    <t>conducted on 8-27-12</t>
  </si>
  <si>
    <t>psI</t>
  </si>
  <si>
    <t>normalized to Solaris and Sym GCP</t>
  </si>
  <si>
    <t>rbcL normalized to Solaris and Sym GCP</t>
  </si>
  <si>
    <t>nrt2 Ct1</t>
  </si>
  <si>
    <t>nrt2/Solaris</t>
  </si>
  <si>
    <t>nrt2/Solaris/Sym GCP</t>
  </si>
  <si>
    <t>pgpase Ct1</t>
  </si>
  <si>
    <t>pgpase/Solaris</t>
  </si>
  <si>
    <t>pgpase/Solaris/Sym GCP</t>
  </si>
  <si>
    <t>nrt2 normalized to Solaris and Sym GCP</t>
  </si>
  <si>
    <t>SOLARIS</t>
  </si>
  <si>
    <t>Sym psi/III</t>
  </si>
  <si>
    <t>Sym rbcL</t>
  </si>
  <si>
    <t>Sym nrt2</t>
  </si>
  <si>
    <t>Sym pgpase</t>
  </si>
  <si>
    <t>manual threshold @ 0.05</t>
  </si>
  <si>
    <t>low melt temp?</t>
  </si>
  <si>
    <t>114% PCR, maybe due to primer-dimers</t>
  </si>
  <si>
    <t>none for genotyping</t>
  </si>
  <si>
    <t>set threshold manually at 0.2</t>
  </si>
  <si>
    <t>low PCR efficiency, consider using BSA in future reactions or 58.5C anneal</t>
  </si>
  <si>
    <t>Mastermix: 10 ul EZ-TIME SYBR Green mastermix w/ ROX, 0.4 ul Sym-nrt2-F1/R1 (200 nM)</t>
  </si>
  <si>
    <t>Thermocycling: 95C for 10 min x 1 cycle, 95C for 15C, 61.5C for 60s x 33 cycles to melt curve</t>
  </si>
  <si>
    <t>pgpase normalized to Solaris and Sym GCP</t>
  </si>
  <si>
    <t>Mastermix: 10 ul EZ-TIME Sybr Green mastermix w/ ROX, 0.5 ul(250 nM) each primer (Sym-pgpase-F1/R1 [10 uM]), 0 BSA, 2 ul 3-fold diluted cDNA</t>
  </si>
  <si>
    <t>set threshold manuall at 0.05</t>
  </si>
  <si>
    <t>small @ 66C</t>
  </si>
  <si>
    <t>small @ 69C</t>
  </si>
  <si>
    <t>small @ 67-68C</t>
  </si>
  <si>
    <t>106% PCR</t>
  </si>
  <si>
    <t>Sym apx1</t>
  </si>
  <si>
    <t>apx1 Ct1</t>
  </si>
  <si>
    <t>small @ 92C</t>
  </si>
  <si>
    <t>small @ 67C</t>
  </si>
  <si>
    <t>high stdeviation</t>
  </si>
  <si>
    <t>Thermocycling: 95C for 10 min x 1 cycle, 95C for 15s, 60 for 60s x 32 cylces + melt curve</t>
  </si>
  <si>
    <t>use BSA and 35 cycles in future reactions</t>
  </si>
  <si>
    <t>3 peaks!</t>
  </si>
  <si>
    <t>too few cycles</t>
  </si>
  <si>
    <t xml:space="preserve">set threshold manually at 0.02. Primer-dimers could be an issue. </t>
  </si>
  <si>
    <t>small @ 68-69C</t>
  </si>
  <si>
    <t>105% PCR efficiency, don't change anything!</t>
  </si>
  <si>
    <t>host actb</t>
  </si>
  <si>
    <t>actb Ct1</t>
  </si>
  <si>
    <t>actb/Solaris</t>
  </si>
  <si>
    <t>actb/Solaris/host GCP</t>
  </si>
  <si>
    <t>host tuba</t>
  </si>
  <si>
    <t>tuba Ct1</t>
  </si>
  <si>
    <t>tuba/Solaris</t>
  </si>
  <si>
    <t>tuba/Solaris/host GCP</t>
  </si>
  <si>
    <t>host tuba normalized to Solaris and host GCP</t>
  </si>
  <si>
    <t>host actb normalized to Solaris and host GCP</t>
  </si>
  <si>
    <t>host trp1 normalized to Solaris and host GCP</t>
  </si>
  <si>
    <t>host trp1</t>
  </si>
  <si>
    <t>trp1/Solaris</t>
  </si>
  <si>
    <t>trp1/Solaris/host GCP</t>
  </si>
  <si>
    <t>trp1 Ct1</t>
  </si>
  <si>
    <t>Conducted on 9-1-12: EZ-TIME SYBR Green mastermix with ROX (1x), 50 nM each primer</t>
  </si>
  <si>
    <t>Thermocycling: 29 cycles of 95C for 15s, 60C for 60s</t>
  </si>
  <si>
    <t xml:space="preserve">Threshold set manually at </t>
  </si>
  <si>
    <t>Conducted on 9-3-12: EZ-TIME SYBR Green mastermix with ROX (1x), 50 nM each primer</t>
  </si>
  <si>
    <t>Thermocycling: 32 cycles of 95C for 15s, 61.5C for 60s</t>
  </si>
  <si>
    <t>host ezrin</t>
  </si>
  <si>
    <t>ezrin Ct1</t>
  </si>
  <si>
    <t>ezrin/Solaris</t>
  </si>
  <si>
    <t>ezrin/Solaris/host GCP</t>
  </si>
  <si>
    <t>host ezrin normalized to Solaris and host GCP</t>
  </si>
  <si>
    <t>Thermocycling: 35 cycles of 95C for 15s, 59C for 60s</t>
  </si>
  <si>
    <t>Conducted on 9-3-12: POWER SYBR Green mastermix with ROX (1x), 50 nM each primer</t>
  </si>
  <si>
    <t>host cplap2</t>
  </si>
  <si>
    <t>cplap2 Ct1</t>
  </si>
  <si>
    <t>cplap2/Solaris</t>
  </si>
  <si>
    <t>cplap2/Solaris/host GCP</t>
  </si>
  <si>
    <t>host cplap2 normalized to Solaris and host GCP</t>
  </si>
  <si>
    <t>host OATP</t>
  </si>
  <si>
    <t>OATP Ct1</t>
  </si>
  <si>
    <t>oatp/Solaris</t>
  </si>
  <si>
    <t>oatp/Solaris/host GCP</t>
  </si>
  <si>
    <t>host oatp normalized to Solaris and host GCP</t>
  </si>
  <si>
    <t>Thermocycling: 35 cycles of 95C for 15s, 60C for 60s</t>
  </si>
  <si>
    <t>host trcc</t>
  </si>
  <si>
    <t>trcc Ct1</t>
  </si>
  <si>
    <t>host trcc normalized to Solaris and host GCP</t>
  </si>
  <si>
    <t>trcc/Solaris/host GCP</t>
  </si>
  <si>
    <t>trcc/Solaris</t>
  </si>
  <si>
    <t>didn't run enough cycles</t>
  </si>
  <si>
    <t>use 33 cycles in future reactions</t>
  </si>
  <si>
    <t>Thermocycling: 33 cycles of 95C for 15s, 61.5C for 60s</t>
  </si>
  <si>
    <t>Threshold set manually at 0.1</t>
  </si>
  <si>
    <t>96% PCR efficiency</t>
  </si>
  <si>
    <t>Baker lab Clade C assay</t>
  </si>
  <si>
    <t>clade c Ct1</t>
  </si>
  <si>
    <t>Conducted on 9-17-12: Power SYBR Green mastermix with ROX (1x), 400 nM each primer</t>
  </si>
  <si>
    <t>Thermocycling: 35 cycles of 95C for 15s, 60C for 30s, 72C for 30s</t>
  </si>
  <si>
    <t>Baker lab Clade d</t>
  </si>
  <si>
    <t>clade d Ct1</t>
  </si>
  <si>
    <t>clade c/D</t>
  </si>
  <si>
    <t>Conducted on 9-17-12: Power SYBR Green mastermix with ROX (1x), 40 nM each primer</t>
  </si>
  <si>
    <t>clade C/D ratio</t>
  </si>
  <si>
    <t>apx1/Solaris</t>
  </si>
  <si>
    <t>apx1/Solaris/Sym GCP</t>
  </si>
  <si>
    <t>notes</t>
  </si>
  <si>
    <t>no remaining DNA</t>
  </si>
  <si>
    <t>Threshold set manually at 0.01</t>
  </si>
  <si>
    <t>bad primer-dimers</t>
  </si>
  <si>
    <t>terrible primer-dimers</t>
  </si>
  <si>
    <t>DNA may have evaporated</t>
  </si>
  <si>
    <t>low melting temp.?</t>
  </si>
  <si>
    <t>clade c assay results</t>
  </si>
  <si>
    <t>control</t>
  </si>
  <si>
    <t>Yes</t>
  </si>
  <si>
    <t>rxn failed</t>
  </si>
  <si>
    <t>clade d assay results</t>
  </si>
  <si>
    <t>All reactions failed</t>
  </si>
  <si>
    <t>C only</t>
  </si>
  <si>
    <t>ND</t>
  </si>
  <si>
    <t>clade a assay results</t>
  </si>
  <si>
    <t>on 9-18-12: the clade A assay was also conducted with the same mastermix and thermocycling as for clade C</t>
  </si>
  <si>
    <t>only 12 DNAs will remain after clade D assay</t>
  </si>
  <si>
    <t>only 11 DNAs remain after clade A assay</t>
  </si>
  <si>
    <t>sample 30.6 tank 1 was the only one which produced a positive amp with the clade A primers</t>
  </si>
  <si>
    <t>Ct = 18.3</t>
  </si>
  <si>
    <t>Melt = 81.6C</t>
  </si>
  <si>
    <t>81% PCR efficiency</t>
  </si>
  <si>
    <t>try lower annealing temp.</t>
  </si>
  <si>
    <t>hsp90</t>
  </si>
  <si>
    <t>90% PCR efficiency</t>
  </si>
  <si>
    <t>around 93%</t>
  </si>
  <si>
    <t>may need BSA</t>
  </si>
  <si>
    <t>control serror/avg</t>
  </si>
  <si>
    <t>high serror/avg</t>
  </si>
  <si>
    <t>control se/avg</t>
  </si>
  <si>
    <t>high se/aver</t>
  </si>
  <si>
    <t>pgpase normalized to Solaris only</t>
  </si>
  <si>
    <t>nrt2 normalized to Solaris only</t>
  </si>
  <si>
    <t>apx1 normalized to Solaris and Sym GCP</t>
  </si>
  <si>
    <t>apx1 normalized to Solaris only</t>
  </si>
  <si>
    <t>cont se/avg</t>
  </si>
  <si>
    <t>Conducted on 12-16-12 @ NMMBA: EZ-TIME SYBR Green mastermix with ROX (1x), 100 nM each primer, 1/2x BSA</t>
  </si>
  <si>
    <t>Thermocycling: 35  cycles of 95C for 15s, 60C for 60s</t>
  </si>
  <si>
    <t>broke tube!</t>
  </si>
  <si>
    <t>94% PCR efficiency</t>
  </si>
  <si>
    <t>Solaris from 2nd batch of cDNA Dec. 2012</t>
  </si>
  <si>
    <t>Solaris r. 2</t>
  </si>
  <si>
    <t>broken tube, lost all cDNA</t>
  </si>
  <si>
    <t>conducted on 12-17-12 @ NMMBA</t>
  </si>
  <si>
    <t>tube broken</t>
  </si>
  <si>
    <t>tube broke</t>
  </si>
  <si>
    <t>broke tube</t>
  </si>
  <si>
    <t xml:space="preserve">Threshold set manually at 0.01 </t>
  </si>
  <si>
    <t>Conducted on 12-16-12 @ NMMBA: EZ-TIME SYBR Green mastermix with ROX (1x), 250 nM each primer</t>
  </si>
  <si>
    <t>Thermocycling: 30 cycles of 95C for 15s, 60C for 60s</t>
  </si>
  <si>
    <t>98% PCR efficiency</t>
  </si>
  <si>
    <t>Conducted on 12-16-12: EZ-TIME SYBR Green mastermix with ROX (1x), 500 nM each primer</t>
  </si>
  <si>
    <t>2 outliers removed</t>
  </si>
  <si>
    <t>114% PCR efficiency</t>
  </si>
  <si>
    <t>go back to 400 nM primers in future reactions</t>
  </si>
  <si>
    <t>93% PCR efficiency</t>
  </si>
  <si>
    <t>significantly lower Ct values than with first round (27-29). In future, use 4 ul/RT reaction</t>
  </si>
  <si>
    <t>serr/avg*100</t>
  </si>
  <si>
    <t>solaris only</t>
  </si>
  <si>
    <t>22% variance for both Solaris only and Solaris/GCP normalization</t>
  </si>
  <si>
    <t>non-normalized</t>
  </si>
  <si>
    <t xml:space="preserve">slightly lower overall variance but not statistically significant </t>
  </si>
  <si>
    <t>cont see/avg</t>
  </si>
  <si>
    <t>high se/avg</t>
  </si>
  <si>
    <t>host trcc normalized to Solaris only</t>
  </si>
  <si>
    <t>very similar variance (26%) between Solaris only and Solaris/host GCP normalization</t>
  </si>
  <si>
    <t>non-normalized trcc expression</t>
  </si>
  <si>
    <t>Conducted on 12-17-12 @ NMMBA on AB 7500: EZ-TIME SYBR Green mastermix with ROX (1x), 250 nM each primer</t>
  </si>
  <si>
    <t>cont avg/se</t>
  </si>
  <si>
    <t>very similar variance ~26%</t>
  </si>
  <si>
    <t>1 rxn failed</t>
  </si>
  <si>
    <t>high avg/se</t>
  </si>
  <si>
    <t>95% PCR efficiency</t>
  </si>
  <si>
    <t>average Ct</t>
  </si>
  <si>
    <t>stdev of Ct</t>
  </si>
  <si>
    <t>slightly lower variance with non-normalized data</t>
  </si>
  <si>
    <t>upwelling</t>
  </si>
  <si>
    <t>variable</t>
  </si>
  <si>
    <t>V3</t>
  </si>
  <si>
    <t>V1</t>
  </si>
  <si>
    <t>V2</t>
  </si>
  <si>
    <t>stable</t>
  </si>
  <si>
    <t>S1</t>
  </si>
  <si>
    <t>S3</t>
  </si>
  <si>
    <t>S2</t>
  </si>
  <si>
    <t>non-upwelling</t>
  </si>
  <si>
    <t>norm hsp70z</t>
  </si>
  <si>
    <t>site of origin</t>
  </si>
  <si>
    <t>norm hsp70h</t>
  </si>
  <si>
    <t>norm host ezrin</t>
  </si>
  <si>
    <t>norm host tuba</t>
  </si>
  <si>
    <t>norm host actb</t>
  </si>
  <si>
    <t>norm host trp1</t>
  </si>
  <si>
    <t>norm sym nrt2</t>
  </si>
  <si>
    <t>norm host oatp</t>
  </si>
  <si>
    <t>norm host trcc</t>
  </si>
  <si>
    <t>norm host cplap2</t>
  </si>
  <si>
    <t>norm sym axp1</t>
  </si>
  <si>
    <t>relative to lowest</t>
  </si>
  <si>
    <t>host hsp70</t>
  </si>
  <si>
    <t>SHVTS</t>
  </si>
  <si>
    <t>SHSTTE</t>
  </si>
  <si>
    <t>HBH</t>
  </si>
  <si>
    <t>HWN</t>
  </si>
  <si>
    <t>host</t>
  </si>
  <si>
    <t>sym hsp70</t>
  </si>
  <si>
    <t>log transformed fold changes</t>
  </si>
  <si>
    <t>sym nrt2</t>
  </si>
  <si>
    <t>.</t>
  </si>
  <si>
    <t>host oatp</t>
  </si>
  <si>
    <t>norm sym psI</t>
  </si>
  <si>
    <t>relative to lowes</t>
  </si>
  <si>
    <t>sym psI</t>
  </si>
  <si>
    <t>sym pgpase</t>
  </si>
  <si>
    <t>sym rbcL</t>
  </si>
  <si>
    <t>SHVTS &gt;SHSTTE</t>
  </si>
  <si>
    <t>shvts = shstte</t>
  </si>
  <si>
    <t>sym apx1</t>
  </si>
  <si>
    <t>shstte &gt; shvts</t>
  </si>
  <si>
    <t>HBH &gt; HWN</t>
  </si>
  <si>
    <t>HBH = HWN</t>
  </si>
  <si>
    <t>HWN &gt; HBH</t>
  </si>
  <si>
    <t>ezrin</t>
  </si>
  <si>
    <t>trp1</t>
  </si>
  <si>
    <t>oatp</t>
  </si>
  <si>
    <t>cplap2</t>
  </si>
  <si>
    <t>sym psi</t>
  </si>
  <si>
    <t>rbcl</t>
  </si>
  <si>
    <t>Gene</t>
  </si>
  <si>
    <t>Experiment</t>
  </si>
  <si>
    <t>rbcL</t>
  </si>
  <si>
    <t>pgpase</t>
  </si>
  <si>
    <t>nrt2</t>
  </si>
  <si>
    <t>apx1</t>
  </si>
  <si>
    <t>hsp70</t>
  </si>
  <si>
    <t>actb</t>
  </si>
  <si>
    <t xml:space="preserve">tuba </t>
  </si>
  <si>
    <t>trcc</t>
  </si>
  <si>
    <t>mean log fold change</t>
  </si>
  <si>
    <t>std error of log fold change</t>
  </si>
  <si>
    <t>statistical test</t>
  </si>
  <si>
    <t>Wilcoxon</t>
  </si>
  <si>
    <t>z/t</t>
  </si>
  <si>
    <t>p</t>
  </si>
  <si>
    <t>interpretation</t>
  </si>
  <si>
    <t>SHSTTE &gt; SHVTS</t>
  </si>
  <si>
    <t>similar</t>
  </si>
  <si>
    <t>&lt;0.0001</t>
  </si>
  <si>
    <t>SHVTS &gt; SHSTTE</t>
  </si>
  <si>
    <t>student's</t>
  </si>
  <si>
    <t>6.52 +/- 1.14</t>
  </si>
  <si>
    <t>7.66 +/-1.54</t>
  </si>
  <si>
    <t>3.15 +/- 0.386</t>
  </si>
  <si>
    <t>207.5 +/- 57.7</t>
  </si>
  <si>
    <r>
      <t>Mean</t>
    </r>
    <r>
      <rPr>
        <vertAlign val="superscript"/>
        <sz val="11"/>
        <rFont val="Times New Roman"/>
      </rPr>
      <t>N</t>
    </r>
  </si>
  <si>
    <t>Max</t>
  </si>
  <si>
    <t>Min</t>
  </si>
  <si>
    <t>SD</t>
  </si>
  <si>
    <r>
      <t>s</t>
    </r>
    <r>
      <rPr>
        <i/>
        <sz val="12"/>
        <rFont val="Times New Roman"/>
      </rPr>
      <t>Symbiodinium</t>
    </r>
    <r>
      <rPr>
        <sz val="12"/>
        <rFont val="Times New Roman"/>
      </rPr>
      <t xml:space="preserve">. </t>
    </r>
    <r>
      <rPr>
        <i/>
        <vertAlign val="superscript"/>
        <sz val="12"/>
        <rFont val="Times New Roman"/>
      </rPr>
      <t>h</t>
    </r>
    <r>
      <rPr>
        <sz val="12"/>
        <rFont val="Times New Roman"/>
      </rPr>
      <t xml:space="preserve">host. </t>
    </r>
    <r>
      <rPr>
        <vertAlign val="superscript"/>
        <sz val="12"/>
        <rFont val="Times New Roman"/>
      </rPr>
      <t>N</t>
    </r>
    <r>
      <rPr>
        <sz val="12"/>
        <rFont val="Times New Roman"/>
      </rPr>
      <t xml:space="preserve">non-transformed values. </t>
    </r>
    <r>
      <rPr>
        <vertAlign val="superscript"/>
        <sz val="12"/>
        <rFont val="Times New Roman"/>
      </rPr>
      <t>d</t>
    </r>
    <r>
      <rPr>
        <sz val="12"/>
        <rFont val="Times New Roman"/>
      </rPr>
      <t xml:space="preserve">discussed in Mayfield et al. (2011). </t>
    </r>
  </si>
  <si>
    <r>
      <t>hsp70</t>
    </r>
    <r>
      <rPr>
        <i/>
        <vertAlign val="superscript"/>
        <sz val="12"/>
        <rFont val="Times New Roman"/>
      </rPr>
      <t>s</t>
    </r>
  </si>
  <si>
    <r>
      <t>hsp70</t>
    </r>
    <r>
      <rPr>
        <i/>
        <vertAlign val="superscript"/>
        <sz val="12"/>
        <rFont val="Times New Roman"/>
      </rPr>
      <t>h</t>
    </r>
  </si>
  <si>
    <t>tuba</t>
  </si>
  <si>
    <t>gene</t>
  </si>
  <si>
    <t>log expression</t>
  </si>
  <si>
    <t>hsp70z</t>
  </si>
  <si>
    <t>log stdev</t>
  </si>
  <si>
    <t>hsp70h</t>
  </si>
  <si>
    <t>sym</t>
  </si>
  <si>
    <t>Ct</t>
  </si>
  <si>
    <t>solaris</t>
  </si>
  <si>
    <t>hsp70/solaris</t>
  </si>
  <si>
    <t>C6</t>
  </si>
  <si>
    <t>H6</t>
  </si>
  <si>
    <t>C12</t>
  </si>
  <si>
    <t>H12</t>
  </si>
  <si>
    <t>C24</t>
  </si>
  <si>
    <t>H24</t>
  </si>
  <si>
    <t>C36</t>
  </si>
  <si>
    <t>H36</t>
  </si>
  <si>
    <t>Sym psI</t>
  </si>
  <si>
    <t>log(y+1) bray-curtis</t>
  </si>
  <si>
    <t>1=</t>
  </si>
  <si>
    <t>1=6 hrs</t>
  </si>
  <si>
    <t>2=12 hrs</t>
  </si>
  <si>
    <t>3 = 24hrs</t>
  </si>
  <si>
    <t>4= 48 hrs</t>
  </si>
  <si>
    <t>1=control</t>
  </si>
  <si>
    <t>2=high</t>
  </si>
  <si>
    <t>ANOSIM effect of time</t>
  </si>
  <si>
    <t>no effect of temp, time, or their interaction</t>
  </si>
  <si>
    <t>dispersal is similar between temps</t>
  </si>
  <si>
    <t xml:space="preserve">no dispersal effects of time  </t>
  </si>
  <si>
    <t>Temperature</t>
  </si>
  <si>
    <t>Used log(y+1) transformations for Sym GCP+14 genes</t>
  </si>
  <si>
    <t>outliers determined by JMPs multivariate analysis:</t>
  </si>
  <si>
    <t>control 6-tank 1</t>
  </si>
  <si>
    <t>high 6-tank 6</t>
  </si>
  <si>
    <t>jacknife distance&gt;14.4</t>
  </si>
  <si>
    <t>control 12-tank 1</t>
  </si>
  <si>
    <t>control 12-tank 2</t>
  </si>
  <si>
    <t>high 24-tank 6</t>
  </si>
  <si>
    <t>high 48-tank 5</t>
  </si>
  <si>
    <t>highest PC1 scores</t>
  </si>
  <si>
    <t>control 6 tank 2</t>
  </si>
  <si>
    <t>high 6 tank 5</t>
  </si>
  <si>
    <t>control 24-tank 1</t>
  </si>
  <si>
    <t>control 48-tank 3</t>
  </si>
  <si>
    <t>MANOVA on JMP</t>
  </si>
  <si>
    <t>no effect of temp by disrciminant analysis</t>
  </si>
  <si>
    <t>effect of time by discriminant analysis</t>
  </si>
  <si>
    <t>Wilk's lambda=2.9</t>
  </si>
  <si>
    <t>p=0.023</t>
  </si>
  <si>
    <t>Scoring Coefficients</t>
  </si>
  <si>
    <t>Sym GCP z-score</t>
  </si>
  <si>
    <t>norm Sym rbcL z-score</t>
  </si>
  <si>
    <t>norm Sym psI z-score</t>
  </si>
  <si>
    <t>norm Sym pgpase z-score</t>
  </si>
  <si>
    <t>norm Sym nrt2 z-score</t>
  </si>
  <si>
    <t>norm Sym apx1 z-score</t>
  </si>
  <si>
    <t>norm Sym hsp70 z-score</t>
  </si>
  <si>
    <t>norm host hsp70 z-score</t>
  </si>
  <si>
    <t>norm host actb z-score</t>
  </si>
  <si>
    <t>norm host tuba z-score</t>
  </si>
  <si>
    <t>norm host trp1 z-score</t>
  </si>
  <si>
    <t>norm host ezrin z-score</t>
  </si>
  <si>
    <t>norm host trcc z-score</t>
  </si>
  <si>
    <t>norm host cplap2 z score</t>
  </si>
  <si>
    <t>norm host oatp z score</t>
  </si>
  <si>
    <t>Canon1</t>
  </si>
  <si>
    <t>Canon2</t>
  </si>
  <si>
    <t>Canon3</t>
  </si>
  <si>
    <t>Discriminant analysis, effect of time</t>
  </si>
  <si>
    <t>% var</t>
  </si>
  <si>
    <t>control only</t>
  </si>
  <si>
    <t>first canonical = 87.8%</t>
  </si>
  <si>
    <t>Approximate F</t>
  </si>
  <si>
    <t>p&lt;0.0001</t>
  </si>
  <si>
    <t>canonical 1 main loading factor: Sym pgpase</t>
  </si>
  <si>
    <t>high temp only</t>
  </si>
  <si>
    <t>canonical 1=81%</t>
  </si>
  <si>
    <t>significant eigenvalue</t>
  </si>
  <si>
    <t>Summary Plots</t>
  </si>
  <si>
    <t>Number</t>
  </si>
  <si>
    <t>Eigenvalue</t>
  </si>
  <si>
    <t>Percent</t>
  </si>
  <si>
    <t>Cum Percent</t>
  </si>
  <si>
    <t xml:space="preserve">++++        </t>
  </si>
  <si>
    <t xml:space="preserve">++          </t>
  </si>
  <si>
    <t xml:space="preserve">+           </t>
  </si>
  <si>
    <t>PCA</t>
  </si>
  <si>
    <t>Prin1</t>
  </si>
  <si>
    <t>Prin2</t>
  </si>
  <si>
    <t>Prin3</t>
  </si>
  <si>
    <t>RNA/DNA rations</t>
  </si>
  <si>
    <t>N*10^9</t>
  </si>
  <si>
    <t>avg non-norm</t>
  </si>
  <si>
    <t>vs. 25.7</t>
  </si>
  <si>
    <t>can't do ANOSIM with only 8 samples (c vs. H at each of four times)</t>
  </si>
  <si>
    <t xml:space="preserve">ANOSIM of 7 Sym parameters only: global R = -0.08 (NS) for time </t>
  </si>
  <si>
    <t>Predictor Screening</t>
  </si>
  <si>
    <t>Predictor</t>
  </si>
  <si>
    <t>Contribution</t>
  </si>
  <si>
    <t>Portion</t>
  </si>
  <si>
    <t>Rank</t>
  </si>
  <si>
    <t>++++++++++++</t>
  </si>
  <si>
    <t xml:space="preserve">++++++++++  </t>
  </si>
  <si>
    <t xml:space="preserve">+++++++++   </t>
  </si>
  <si>
    <t xml:space="preserve">++++++      </t>
  </si>
  <si>
    <t>protein/DNA</t>
  </si>
  <si>
    <t xml:space="preserve">+++++       </t>
  </si>
  <si>
    <t xml:space="preserve">+++         </t>
  </si>
  <si>
    <t>effect of treatment: cont (n=4) vs. high (n=4)</t>
  </si>
  <si>
    <t>21.8 avg</t>
  </si>
  <si>
    <t>OK's</t>
  </si>
  <si>
    <t>20-24</t>
  </si>
  <si>
    <t>*10^9</t>
  </si>
  <si>
    <t>ANOSIM of 17 parameters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</si>
</sst>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Verdana"/>
    </font>
    <font>
      <b/>
      <sz val="10"/>
      <name val="Verdana"/>
    </font>
    <font>
      <sz val="8"/>
      <name val="Verdana"/>
    </font>
    <font>
      <sz val="12"/>
      <color rgb="FFFF0000"/>
      <name val="Times New Roman"/>
      <family val="2"/>
    </font>
    <font>
      <sz val="10"/>
      <color rgb="FFFF0000"/>
      <name val="Verdana"/>
    </font>
    <font>
      <sz val="10"/>
      <color rgb="FF008000"/>
      <name val="Verdana"/>
    </font>
    <font>
      <i/>
      <sz val="10"/>
      <color rgb="FF008000"/>
      <name val="Verdana"/>
    </font>
    <font>
      <b/>
      <sz val="10"/>
      <color rgb="FF008000"/>
      <name val="Verdana"/>
    </font>
    <font>
      <b/>
      <sz val="10"/>
      <color rgb="FFFF0000"/>
      <name val="Verdana"/>
    </font>
    <font>
      <sz val="16"/>
      <color rgb="FFFF0000"/>
      <name val="Times New Roman"/>
    </font>
    <font>
      <u/>
      <sz val="10"/>
      <color theme="10"/>
      <name val="Verdana"/>
    </font>
    <font>
      <u/>
      <sz val="10"/>
      <color theme="11"/>
      <name val="Verdana"/>
    </font>
    <font>
      <sz val="10"/>
      <color rgb="FFDD0806"/>
      <name val="Verdana"/>
      <family val="2"/>
    </font>
    <font>
      <sz val="10"/>
      <color rgb="FF006411"/>
      <name val="Verdana"/>
      <family val="2"/>
    </font>
    <font>
      <b/>
      <sz val="10"/>
      <color rgb="FF006411"/>
      <name val="Verdana"/>
      <family val="2"/>
    </font>
    <font>
      <sz val="10"/>
      <color rgb="FF339966"/>
      <name val="Verdana"/>
      <family val="2"/>
    </font>
    <font>
      <b/>
      <sz val="10"/>
      <color rgb="FFDD0806"/>
      <name val="Verdana"/>
      <family val="2"/>
    </font>
    <font>
      <b/>
      <sz val="11"/>
      <name val="Times New Roman"/>
    </font>
    <font>
      <vertAlign val="superscript"/>
      <sz val="11"/>
      <name val="Times New Roman"/>
    </font>
    <font>
      <sz val="12"/>
      <name val="Times New Roman"/>
    </font>
    <font>
      <i/>
      <vertAlign val="superscript"/>
      <sz val="12"/>
      <name val="Times New Roman"/>
    </font>
    <font>
      <i/>
      <sz val="12"/>
      <name val="Times New Roman"/>
    </font>
    <font>
      <vertAlign val="superscript"/>
      <sz val="12"/>
      <name val="Times New Roman"/>
    </font>
    <font>
      <i/>
      <sz val="11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rgb="FF000000"/>
      </patternFill>
    </fill>
  </fills>
  <borders count="8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11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5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NumberFormat="1"/>
    <xf numFmtId="20" fontId="1" fillId="0" borderId="0" xfId="0" applyNumberFormat="1" applyFont="1"/>
    <xf numFmtId="9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7" fillId="0" borderId="0" xfId="0" applyFont="1"/>
    <xf numFmtId="0" fontId="4" fillId="0" borderId="0" xfId="0" applyFont="1" applyFill="1" applyBorder="1" applyAlignment="1"/>
    <xf numFmtId="0" fontId="8" fillId="0" borderId="0" xfId="0" applyFont="1"/>
    <xf numFmtId="0" fontId="4" fillId="0" borderId="2" xfId="0" applyFont="1" applyFill="1" applyBorder="1" applyAlignment="1"/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20" fontId="5" fillId="0" borderId="0" xfId="0" applyNumberFormat="1" applyFont="1"/>
    <xf numFmtId="14" fontId="5" fillId="0" borderId="0" xfId="0" applyNumberFormat="1" applyFont="1"/>
    <xf numFmtId="20" fontId="4" fillId="0" borderId="0" xfId="0" applyNumberFormat="1" applyFont="1"/>
    <xf numFmtId="14" fontId="4" fillId="0" borderId="0" xfId="0" applyNumberFormat="1" applyFont="1"/>
    <xf numFmtId="0" fontId="0" fillId="0" borderId="0" xfId="0" applyFont="1"/>
    <xf numFmtId="16" fontId="5" fillId="0" borderId="0" xfId="0" applyNumberFormat="1" applyFont="1"/>
    <xf numFmtId="9" fontId="0" fillId="0" borderId="0" xfId="0" applyNumberFormat="1" applyFont="1"/>
    <xf numFmtId="0" fontId="5" fillId="0" borderId="0" xfId="0" applyNumberFormat="1" applyFont="1"/>
    <xf numFmtId="20" fontId="7" fillId="0" borderId="0" xfId="0" applyNumberFormat="1" applyFont="1"/>
    <xf numFmtId="14" fontId="7" fillId="0" borderId="0" xfId="0" applyNumberFormat="1" applyFont="1"/>
    <xf numFmtId="20" fontId="8" fillId="0" borderId="0" xfId="0" applyNumberFormat="1" applyFont="1"/>
    <xf numFmtId="14" fontId="8" fillId="0" borderId="0" xfId="0" applyNumberFormat="1" applyFont="1"/>
    <xf numFmtId="0" fontId="1" fillId="0" borderId="0" xfId="0" applyFont="1"/>
    <xf numFmtId="0" fontId="5" fillId="0" borderId="0" xfId="0" applyFont="1" applyFill="1"/>
    <xf numFmtId="0" fontId="4" fillId="0" borderId="0" xfId="0" applyFont="1" applyBorder="1"/>
    <xf numFmtId="17" fontId="7" fillId="0" borderId="0" xfId="0" applyNumberFormat="1" applyFont="1"/>
    <xf numFmtId="17" fontId="5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2" borderId="0" xfId="0" applyFill="1"/>
    <xf numFmtId="0" fontId="5" fillId="3" borderId="0" xfId="0" applyFont="1" applyFill="1"/>
    <xf numFmtId="0" fontId="7" fillId="3" borderId="0" xfId="0" applyFont="1" applyFill="1"/>
    <xf numFmtId="0" fontId="4" fillId="3" borderId="0" xfId="0" applyFont="1" applyFill="1"/>
    <xf numFmtId="0" fontId="0" fillId="0" borderId="0" xfId="0" applyFill="1"/>
    <xf numFmtId="0" fontId="5" fillId="2" borderId="0" xfId="0" applyFont="1" applyFill="1"/>
    <xf numFmtId="0" fontId="4" fillId="2" borderId="0" xfId="0" applyFont="1" applyFill="1"/>
    <xf numFmtId="0" fontId="7" fillId="2" borderId="0" xfId="0" applyFont="1" applyFill="1"/>
    <xf numFmtId="0" fontId="1" fillId="2" borderId="0" xfId="0" applyFont="1" applyFill="1"/>
    <xf numFmtId="0" fontId="8" fillId="2" borderId="0" xfId="0" applyFont="1" applyFill="1"/>
    <xf numFmtId="0" fontId="0" fillId="0" borderId="0" xfId="0" applyFont="1" applyFill="1"/>
    <xf numFmtId="0" fontId="0" fillId="2" borderId="0" xfId="0" applyFont="1" applyFill="1"/>
    <xf numFmtId="0" fontId="0" fillId="3" borderId="0" xfId="0" applyFill="1"/>
    <xf numFmtId="0" fontId="4" fillId="4" borderId="0" xfId="0" applyFont="1" applyFill="1"/>
    <xf numFmtId="0" fontId="0" fillId="5" borderId="0" xfId="0" applyFont="1" applyFill="1"/>
    <xf numFmtId="0" fontId="4" fillId="0" borderId="0" xfId="0" applyFont="1" applyFill="1"/>
    <xf numFmtId="0" fontId="7" fillId="0" borderId="0" xfId="0" applyFont="1" applyFill="1"/>
    <xf numFmtId="9" fontId="4" fillId="0" borderId="0" xfId="0" applyNumberFormat="1" applyFont="1"/>
    <xf numFmtId="0" fontId="8" fillId="0" borderId="0" xfId="0" applyFont="1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6" borderId="0" xfId="0" applyFont="1" applyFill="1"/>
    <xf numFmtId="0" fontId="17" fillId="0" borderId="3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3" fillId="0" borderId="3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5" fillId="9" borderId="0" xfId="0" applyFont="1" applyFill="1"/>
    <xf numFmtId="0" fontId="4" fillId="9" borderId="0" xfId="0" applyFont="1" applyFill="1"/>
    <xf numFmtId="0" fontId="19" fillId="0" borderId="7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</cellXfs>
  <cellStyles count="11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Aquarium temperatures over time</a:t>
            </a:r>
          </a:p>
        </c:rich>
      </c:tx>
      <c:layout>
        <c:manualLayout>
          <c:xMode val="edge"/>
          <c:yMode val="edge"/>
          <c:x val="0.38060827839558"/>
          <c:y val="0.02798515185601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10420683788919"/>
          <c:y val="0.119403066654308"/>
          <c:w val="0.713459637692744"/>
          <c:h val="0.759328877004739"/>
        </c:manualLayout>
      </c:layout>
      <c:lineChart>
        <c:grouping val="standard"/>
        <c:varyColors val="0"/>
        <c:ser>
          <c:idx val="0"/>
          <c:order val="0"/>
          <c:tx>
            <c:v>exp. tank 1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'temp data'!$G$8:$G$52</c:f>
              <c:numCache>
                <c:formatCode>General</c:formatCode>
                <c:ptCount val="45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5.0</c:v>
                </c:pt>
                <c:pt idx="9">
                  <c:v>5.5</c:v>
                </c:pt>
                <c:pt idx="10">
                  <c:v>6.0</c:v>
                </c:pt>
                <c:pt idx="11">
                  <c:v>6.5</c:v>
                </c:pt>
                <c:pt idx="12">
                  <c:v>7.0</c:v>
                </c:pt>
                <c:pt idx="13">
                  <c:v>7.5</c:v>
                </c:pt>
                <c:pt idx="14">
                  <c:v>8.0</c:v>
                </c:pt>
                <c:pt idx="15">
                  <c:v>8.5</c:v>
                </c:pt>
                <c:pt idx="16">
                  <c:v>9.0</c:v>
                </c:pt>
                <c:pt idx="17">
                  <c:v>11.0</c:v>
                </c:pt>
                <c:pt idx="18">
                  <c:v>11.5</c:v>
                </c:pt>
                <c:pt idx="19">
                  <c:v>12.0</c:v>
                </c:pt>
                <c:pt idx="20">
                  <c:v>12.5</c:v>
                </c:pt>
                <c:pt idx="21">
                  <c:v>13.0</c:v>
                </c:pt>
                <c:pt idx="22">
                  <c:v>13.5</c:v>
                </c:pt>
                <c:pt idx="23">
                  <c:v>14.0</c:v>
                </c:pt>
                <c:pt idx="24">
                  <c:v>14.5</c:v>
                </c:pt>
                <c:pt idx="25">
                  <c:v>15.0</c:v>
                </c:pt>
                <c:pt idx="26">
                  <c:v>16.0</c:v>
                </c:pt>
                <c:pt idx="27">
                  <c:v>17.5</c:v>
                </c:pt>
                <c:pt idx="28">
                  <c:v>18.0</c:v>
                </c:pt>
                <c:pt idx="29">
                  <c:v>19.0</c:v>
                </c:pt>
                <c:pt idx="30">
                  <c:v>23.0</c:v>
                </c:pt>
                <c:pt idx="31">
                  <c:v>23.5</c:v>
                </c:pt>
                <c:pt idx="32">
                  <c:v>24.0</c:v>
                </c:pt>
                <c:pt idx="33">
                  <c:v>25.5</c:v>
                </c:pt>
                <c:pt idx="34">
                  <c:v>26.5</c:v>
                </c:pt>
                <c:pt idx="35">
                  <c:v>27.5</c:v>
                </c:pt>
                <c:pt idx="36">
                  <c:v>28.5</c:v>
                </c:pt>
                <c:pt idx="37">
                  <c:v>29.5</c:v>
                </c:pt>
                <c:pt idx="38">
                  <c:v>30.5</c:v>
                </c:pt>
                <c:pt idx="39">
                  <c:v>31.5</c:v>
                </c:pt>
                <c:pt idx="40">
                  <c:v>32.5</c:v>
                </c:pt>
                <c:pt idx="41">
                  <c:v>33.5</c:v>
                </c:pt>
                <c:pt idx="42">
                  <c:v>35.5</c:v>
                </c:pt>
                <c:pt idx="43">
                  <c:v>36.5</c:v>
                </c:pt>
                <c:pt idx="44">
                  <c:v>48.0</c:v>
                </c:pt>
              </c:numCache>
            </c:numRef>
          </c:cat>
          <c:val>
            <c:numRef>
              <c:f>'temp data'!$B$8:$B$52</c:f>
              <c:numCache>
                <c:formatCode>General</c:formatCode>
                <c:ptCount val="45"/>
                <c:pt idx="0">
                  <c:v>27.9</c:v>
                </c:pt>
                <c:pt idx="1">
                  <c:v>28.8</c:v>
                </c:pt>
                <c:pt idx="2">
                  <c:v>29.0</c:v>
                </c:pt>
                <c:pt idx="3">
                  <c:v>29.4</c:v>
                </c:pt>
                <c:pt idx="4">
                  <c:v>30.0</c:v>
                </c:pt>
                <c:pt idx="5">
                  <c:v>30.0</c:v>
                </c:pt>
                <c:pt idx="6">
                  <c:v>29.8</c:v>
                </c:pt>
                <c:pt idx="7">
                  <c:v>29.9</c:v>
                </c:pt>
                <c:pt idx="8">
                  <c:v>30.1</c:v>
                </c:pt>
                <c:pt idx="9">
                  <c:v>30.6</c:v>
                </c:pt>
                <c:pt idx="10">
                  <c:v>30.6</c:v>
                </c:pt>
                <c:pt idx="11">
                  <c:v>30.6</c:v>
                </c:pt>
                <c:pt idx="12">
                  <c:v>30.5</c:v>
                </c:pt>
                <c:pt idx="13">
                  <c:v>30.4</c:v>
                </c:pt>
                <c:pt idx="14">
                  <c:v>30.2</c:v>
                </c:pt>
                <c:pt idx="15">
                  <c:v>30.1</c:v>
                </c:pt>
                <c:pt idx="16">
                  <c:v>30.1</c:v>
                </c:pt>
                <c:pt idx="17">
                  <c:v>30.4</c:v>
                </c:pt>
                <c:pt idx="18">
                  <c:v>30.3</c:v>
                </c:pt>
                <c:pt idx="19">
                  <c:v>29.9</c:v>
                </c:pt>
                <c:pt idx="20">
                  <c:v>29.7</c:v>
                </c:pt>
                <c:pt idx="21">
                  <c:v>30.5</c:v>
                </c:pt>
                <c:pt idx="22">
                  <c:v>29.8</c:v>
                </c:pt>
                <c:pt idx="23">
                  <c:v>29.7</c:v>
                </c:pt>
                <c:pt idx="24">
                  <c:v>30.2</c:v>
                </c:pt>
                <c:pt idx="25">
                  <c:v>30.2</c:v>
                </c:pt>
                <c:pt idx="26">
                  <c:v>29.9</c:v>
                </c:pt>
                <c:pt idx="27">
                  <c:v>29.6</c:v>
                </c:pt>
                <c:pt idx="28">
                  <c:v>30.3</c:v>
                </c:pt>
                <c:pt idx="29">
                  <c:v>30.3</c:v>
                </c:pt>
                <c:pt idx="30">
                  <c:v>30.4</c:v>
                </c:pt>
                <c:pt idx="31">
                  <c:v>30.6</c:v>
                </c:pt>
                <c:pt idx="32">
                  <c:v>29.9</c:v>
                </c:pt>
                <c:pt idx="33">
                  <c:v>29.8</c:v>
                </c:pt>
                <c:pt idx="34">
                  <c:v>29.9</c:v>
                </c:pt>
                <c:pt idx="35">
                  <c:v>29.8</c:v>
                </c:pt>
                <c:pt idx="36">
                  <c:v>30.4</c:v>
                </c:pt>
                <c:pt idx="37">
                  <c:v>30.4</c:v>
                </c:pt>
                <c:pt idx="38">
                  <c:v>30.6</c:v>
                </c:pt>
                <c:pt idx="39">
                  <c:v>30.5</c:v>
                </c:pt>
                <c:pt idx="40">
                  <c:v>30.4</c:v>
                </c:pt>
                <c:pt idx="41">
                  <c:v>30.3</c:v>
                </c:pt>
                <c:pt idx="42">
                  <c:v>30.2</c:v>
                </c:pt>
                <c:pt idx="43">
                  <c:v>30.1</c:v>
                </c:pt>
                <c:pt idx="44">
                  <c:v>30.0</c:v>
                </c:pt>
              </c:numCache>
            </c:numRef>
          </c:val>
          <c:smooth val="0"/>
        </c:ser>
        <c:ser>
          <c:idx val="1"/>
          <c:order val="1"/>
          <c:tx>
            <c:v>exp. tank 2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'temp data'!$G$8:$G$52</c:f>
              <c:numCache>
                <c:formatCode>General</c:formatCode>
                <c:ptCount val="45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5.0</c:v>
                </c:pt>
                <c:pt idx="9">
                  <c:v>5.5</c:v>
                </c:pt>
                <c:pt idx="10">
                  <c:v>6.0</c:v>
                </c:pt>
                <c:pt idx="11">
                  <c:v>6.5</c:v>
                </c:pt>
                <c:pt idx="12">
                  <c:v>7.0</c:v>
                </c:pt>
                <c:pt idx="13">
                  <c:v>7.5</c:v>
                </c:pt>
                <c:pt idx="14">
                  <c:v>8.0</c:v>
                </c:pt>
                <c:pt idx="15">
                  <c:v>8.5</c:v>
                </c:pt>
                <c:pt idx="16">
                  <c:v>9.0</c:v>
                </c:pt>
                <c:pt idx="17">
                  <c:v>11.0</c:v>
                </c:pt>
                <c:pt idx="18">
                  <c:v>11.5</c:v>
                </c:pt>
                <c:pt idx="19">
                  <c:v>12.0</c:v>
                </c:pt>
                <c:pt idx="20">
                  <c:v>12.5</c:v>
                </c:pt>
                <c:pt idx="21">
                  <c:v>13.0</c:v>
                </c:pt>
                <c:pt idx="22">
                  <c:v>13.5</c:v>
                </c:pt>
                <c:pt idx="23">
                  <c:v>14.0</c:v>
                </c:pt>
                <c:pt idx="24">
                  <c:v>14.5</c:v>
                </c:pt>
                <c:pt idx="25">
                  <c:v>15.0</c:v>
                </c:pt>
                <c:pt idx="26">
                  <c:v>16.0</c:v>
                </c:pt>
                <c:pt idx="27">
                  <c:v>17.5</c:v>
                </c:pt>
                <c:pt idx="28">
                  <c:v>18.0</c:v>
                </c:pt>
                <c:pt idx="29">
                  <c:v>19.0</c:v>
                </c:pt>
                <c:pt idx="30">
                  <c:v>23.0</c:v>
                </c:pt>
                <c:pt idx="31">
                  <c:v>23.5</c:v>
                </c:pt>
                <c:pt idx="32">
                  <c:v>24.0</c:v>
                </c:pt>
                <c:pt idx="33">
                  <c:v>25.5</c:v>
                </c:pt>
                <c:pt idx="34">
                  <c:v>26.5</c:v>
                </c:pt>
                <c:pt idx="35">
                  <c:v>27.5</c:v>
                </c:pt>
                <c:pt idx="36">
                  <c:v>28.5</c:v>
                </c:pt>
                <c:pt idx="37">
                  <c:v>29.5</c:v>
                </c:pt>
                <c:pt idx="38">
                  <c:v>30.5</c:v>
                </c:pt>
                <c:pt idx="39">
                  <c:v>31.5</c:v>
                </c:pt>
                <c:pt idx="40">
                  <c:v>32.5</c:v>
                </c:pt>
                <c:pt idx="41">
                  <c:v>33.5</c:v>
                </c:pt>
                <c:pt idx="42">
                  <c:v>35.5</c:v>
                </c:pt>
                <c:pt idx="43">
                  <c:v>36.5</c:v>
                </c:pt>
                <c:pt idx="44">
                  <c:v>48.0</c:v>
                </c:pt>
              </c:numCache>
            </c:numRef>
          </c:cat>
          <c:val>
            <c:numRef>
              <c:f>'temp data'!$C$8:$C$52</c:f>
              <c:numCache>
                <c:formatCode>General</c:formatCode>
                <c:ptCount val="45"/>
                <c:pt idx="0">
                  <c:v>27.0</c:v>
                </c:pt>
                <c:pt idx="1">
                  <c:v>27.6</c:v>
                </c:pt>
                <c:pt idx="2">
                  <c:v>28.4</c:v>
                </c:pt>
                <c:pt idx="3">
                  <c:v>29.0</c:v>
                </c:pt>
                <c:pt idx="4">
                  <c:v>29.8</c:v>
                </c:pt>
                <c:pt idx="5">
                  <c:v>30.1</c:v>
                </c:pt>
                <c:pt idx="6">
                  <c:v>30.1</c:v>
                </c:pt>
                <c:pt idx="7">
                  <c:v>30.0</c:v>
                </c:pt>
                <c:pt idx="8">
                  <c:v>29.9</c:v>
                </c:pt>
                <c:pt idx="9">
                  <c:v>30.4</c:v>
                </c:pt>
                <c:pt idx="10">
                  <c:v>30.4</c:v>
                </c:pt>
                <c:pt idx="11">
                  <c:v>30.3</c:v>
                </c:pt>
                <c:pt idx="12">
                  <c:v>30.1</c:v>
                </c:pt>
                <c:pt idx="13">
                  <c:v>30.0</c:v>
                </c:pt>
                <c:pt idx="14">
                  <c:v>30.0</c:v>
                </c:pt>
                <c:pt idx="15">
                  <c:v>30.0</c:v>
                </c:pt>
                <c:pt idx="16">
                  <c:v>30.0</c:v>
                </c:pt>
                <c:pt idx="17">
                  <c:v>30.6</c:v>
                </c:pt>
                <c:pt idx="18">
                  <c:v>30.4</c:v>
                </c:pt>
                <c:pt idx="19">
                  <c:v>29.8</c:v>
                </c:pt>
                <c:pt idx="20">
                  <c:v>30.3</c:v>
                </c:pt>
                <c:pt idx="21">
                  <c:v>29.8</c:v>
                </c:pt>
                <c:pt idx="22">
                  <c:v>29.9</c:v>
                </c:pt>
                <c:pt idx="23">
                  <c:v>29.8</c:v>
                </c:pt>
                <c:pt idx="24">
                  <c:v>29.7</c:v>
                </c:pt>
                <c:pt idx="25">
                  <c:v>30.0</c:v>
                </c:pt>
                <c:pt idx="26">
                  <c:v>30.4</c:v>
                </c:pt>
                <c:pt idx="27">
                  <c:v>29.3</c:v>
                </c:pt>
                <c:pt idx="28">
                  <c:v>30.8</c:v>
                </c:pt>
                <c:pt idx="29">
                  <c:v>30.2</c:v>
                </c:pt>
                <c:pt idx="30">
                  <c:v>30.5</c:v>
                </c:pt>
                <c:pt idx="31">
                  <c:v>30.2</c:v>
                </c:pt>
                <c:pt idx="32">
                  <c:v>29.8</c:v>
                </c:pt>
                <c:pt idx="33">
                  <c:v>30.1</c:v>
                </c:pt>
                <c:pt idx="34">
                  <c:v>29.8</c:v>
                </c:pt>
                <c:pt idx="35">
                  <c:v>30.0</c:v>
                </c:pt>
                <c:pt idx="36">
                  <c:v>29.6</c:v>
                </c:pt>
                <c:pt idx="37">
                  <c:v>30.2</c:v>
                </c:pt>
                <c:pt idx="38">
                  <c:v>30.4</c:v>
                </c:pt>
                <c:pt idx="39">
                  <c:v>30.3</c:v>
                </c:pt>
                <c:pt idx="40">
                  <c:v>30.2</c:v>
                </c:pt>
                <c:pt idx="41">
                  <c:v>30.1</c:v>
                </c:pt>
                <c:pt idx="42">
                  <c:v>30.0</c:v>
                </c:pt>
                <c:pt idx="43">
                  <c:v>30.0</c:v>
                </c:pt>
                <c:pt idx="44">
                  <c:v>29.5</c:v>
                </c:pt>
              </c:numCache>
            </c:numRef>
          </c:val>
          <c:smooth val="0"/>
        </c:ser>
        <c:ser>
          <c:idx val="2"/>
          <c:order val="2"/>
          <c:tx>
            <c:v>exp. tank 3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cat>
            <c:numRef>
              <c:f>'temp data'!$G$8:$G$52</c:f>
              <c:numCache>
                <c:formatCode>General</c:formatCode>
                <c:ptCount val="45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5.0</c:v>
                </c:pt>
                <c:pt idx="9">
                  <c:v>5.5</c:v>
                </c:pt>
                <c:pt idx="10">
                  <c:v>6.0</c:v>
                </c:pt>
                <c:pt idx="11">
                  <c:v>6.5</c:v>
                </c:pt>
                <c:pt idx="12">
                  <c:v>7.0</c:v>
                </c:pt>
                <c:pt idx="13">
                  <c:v>7.5</c:v>
                </c:pt>
                <c:pt idx="14">
                  <c:v>8.0</c:v>
                </c:pt>
                <c:pt idx="15">
                  <c:v>8.5</c:v>
                </c:pt>
                <c:pt idx="16">
                  <c:v>9.0</c:v>
                </c:pt>
                <c:pt idx="17">
                  <c:v>11.0</c:v>
                </c:pt>
                <c:pt idx="18">
                  <c:v>11.5</c:v>
                </c:pt>
                <c:pt idx="19">
                  <c:v>12.0</c:v>
                </c:pt>
                <c:pt idx="20">
                  <c:v>12.5</c:v>
                </c:pt>
                <c:pt idx="21">
                  <c:v>13.0</c:v>
                </c:pt>
                <c:pt idx="22">
                  <c:v>13.5</c:v>
                </c:pt>
                <c:pt idx="23">
                  <c:v>14.0</c:v>
                </c:pt>
                <c:pt idx="24">
                  <c:v>14.5</c:v>
                </c:pt>
                <c:pt idx="25">
                  <c:v>15.0</c:v>
                </c:pt>
                <c:pt idx="26">
                  <c:v>16.0</c:v>
                </c:pt>
                <c:pt idx="27">
                  <c:v>17.5</c:v>
                </c:pt>
                <c:pt idx="28">
                  <c:v>18.0</c:v>
                </c:pt>
                <c:pt idx="29">
                  <c:v>19.0</c:v>
                </c:pt>
                <c:pt idx="30">
                  <c:v>23.0</c:v>
                </c:pt>
                <c:pt idx="31">
                  <c:v>23.5</c:v>
                </c:pt>
                <c:pt idx="32">
                  <c:v>24.0</c:v>
                </c:pt>
                <c:pt idx="33">
                  <c:v>25.5</c:v>
                </c:pt>
                <c:pt idx="34">
                  <c:v>26.5</c:v>
                </c:pt>
                <c:pt idx="35">
                  <c:v>27.5</c:v>
                </c:pt>
                <c:pt idx="36">
                  <c:v>28.5</c:v>
                </c:pt>
                <c:pt idx="37">
                  <c:v>29.5</c:v>
                </c:pt>
                <c:pt idx="38">
                  <c:v>30.5</c:v>
                </c:pt>
                <c:pt idx="39">
                  <c:v>31.5</c:v>
                </c:pt>
                <c:pt idx="40">
                  <c:v>32.5</c:v>
                </c:pt>
                <c:pt idx="41">
                  <c:v>33.5</c:v>
                </c:pt>
                <c:pt idx="42">
                  <c:v>35.5</c:v>
                </c:pt>
                <c:pt idx="43">
                  <c:v>36.5</c:v>
                </c:pt>
                <c:pt idx="44">
                  <c:v>48.0</c:v>
                </c:pt>
              </c:numCache>
            </c:numRef>
          </c:cat>
          <c:val>
            <c:numRef>
              <c:f>'temp data'!$D$8:$D$52</c:f>
              <c:numCache>
                <c:formatCode>General</c:formatCode>
                <c:ptCount val="45"/>
                <c:pt idx="0">
                  <c:v>27.3</c:v>
                </c:pt>
                <c:pt idx="1">
                  <c:v>28.1</c:v>
                </c:pt>
                <c:pt idx="2">
                  <c:v>28.4</c:v>
                </c:pt>
                <c:pt idx="3">
                  <c:v>28.6</c:v>
                </c:pt>
                <c:pt idx="4">
                  <c:v>29.0</c:v>
                </c:pt>
                <c:pt idx="5">
                  <c:v>29.8</c:v>
                </c:pt>
                <c:pt idx="6">
                  <c:v>30.3</c:v>
                </c:pt>
                <c:pt idx="7">
                  <c:v>30.0</c:v>
                </c:pt>
                <c:pt idx="8">
                  <c:v>29.6</c:v>
                </c:pt>
                <c:pt idx="9">
                  <c:v>30.4</c:v>
                </c:pt>
                <c:pt idx="10">
                  <c:v>30.4</c:v>
                </c:pt>
                <c:pt idx="11">
                  <c:v>30.4</c:v>
                </c:pt>
                <c:pt idx="12">
                  <c:v>30.1</c:v>
                </c:pt>
                <c:pt idx="13">
                  <c:v>30.1</c:v>
                </c:pt>
                <c:pt idx="14">
                  <c:v>30.3</c:v>
                </c:pt>
                <c:pt idx="15">
                  <c:v>30.2</c:v>
                </c:pt>
                <c:pt idx="16">
                  <c:v>30.6</c:v>
                </c:pt>
                <c:pt idx="17">
                  <c:v>30.5</c:v>
                </c:pt>
                <c:pt idx="18">
                  <c:v>30.3</c:v>
                </c:pt>
                <c:pt idx="19">
                  <c:v>30.1</c:v>
                </c:pt>
                <c:pt idx="20">
                  <c:v>30.3</c:v>
                </c:pt>
                <c:pt idx="21">
                  <c:v>30.1</c:v>
                </c:pt>
                <c:pt idx="22">
                  <c:v>29.9</c:v>
                </c:pt>
                <c:pt idx="23">
                  <c:v>30.1</c:v>
                </c:pt>
                <c:pt idx="24">
                  <c:v>30.4</c:v>
                </c:pt>
                <c:pt idx="25">
                  <c:v>30.2</c:v>
                </c:pt>
                <c:pt idx="26">
                  <c:v>29.6</c:v>
                </c:pt>
                <c:pt idx="27">
                  <c:v>30.2</c:v>
                </c:pt>
                <c:pt idx="28">
                  <c:v>30.6</c:v>
                </c:pt>
                <c:pt idx="29">
                  <c:v>30.6</c:v>
                </c:pt>
                <c:pt idx="30">
                  <c:v>30.2</c:v>
                </c:pt>
                <c:pt idx="31">
                  <c:v>30.6</c:v>
                </c:pt>
                <c:pt idx="32">
                  <c:v>29.8</c:v>
                </c:pt>
                <c:pt idx="33">
                  <c:v>30.3</c:v>
                </c:pt>
                <c:pt idx="34">
                  <c:v>30.2</c:v>
                </c:pt>
                <c:pt idx="35">
                  <c:v>30.1</c:v>
                </c:pt>
                <c:pt idx="36">
                  <c:v>29.6</c:v>
                </c:pt>
                <c:pt idx="37">
                  <c:v>29.7</c:v>
                </c:pt>
                <c:pt idx="38">
                  <c:v>30.6</c:v>
                </c:pt>
                <c:pt idx="39">
                  <c:v>30.5</c:v>
                </c:pt>
                <c:pt idx="40">
                  <c:v>30.4</c:v>
                </c:pt>
                <c:pt idx="41">
                  <c:v>30.3</c:v>
                </c:pt>
                <c:pt idx="42">
                  <c:v>30.2</c:v>
                </c:pt>
                <c:pt idx="43">
                  <c:v>30.2</c:v>
                </c:pt>
                <c:pt idx="44">
                  <c:v>29.4</c:v>
                </c:pt>
              </c:numCache>
            </c:numRef>
          </c:val>
          <c:smooth val="0"/>
        </c:ser>
        <c:ser>
          <c:idx val="3"/>
          <c:order val="3"/>
          <c:tx>
            <c:v>control tanks (avg.)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0.314</c:v>
                </c:pt>
              </c:numLit>
            </c:plus>
            <c:minus>
              <c:numLit>
                <c:formatCode>General</c:formatCode>
                <c:ptCount val="1"/>
                <c:pt idx="0">
                  <c:v>0.314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numRef>
              <c:f>'temp data'!$G$8:$G$52</c:f>
              <c:numCache>
                <c:formatCode>General</c:formatCode>
                <c:ptCount val="45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5.0</c:v>
                </c:pt>
                <c:pt idx="9">
                  <c:v>5.5</c:v>
                </c:pt>
                <c:pt idx="10">
                  <c:v>6.0</c:v>
                </c:pt>
                <c:pt idx="11">
                  <c:v>6.5</c:v>
                </c:pt>
                <c:pt idx="12">
                  <c:v>7.0</c:v>
                </c:pt>
                <c:pt idx="13">
                  <c:v>7.5</c:v>
                </c:pt>
                <c:pt idx="14">
                  <c:v>8.0</c:v>
                </c:pt>
                <c:pt idx="15">
                  <c:v>8.5</c:v>
                </c:pt>
                <c:pt idx="16">
                  <c:v>9.0</c:v>
                </c:pt>
                <c:pt idx="17">
                  <c:v>11.0</c:v>
                </c:pt>
                <c:pt idx="18">
                  <c:v>11.5</c:v>
                </c:pt>
                <c:pt idx="19">
                  <c:v>12.0</c:v>
                </c:pt>
                <c:pt idx="20">
                  <c:v>12.5</c:v>
                </c:pt>
                <c:pt idx="21">
                  <c:v>13.0</c:v>
                </c:pt>
                <c:pt idx="22">
                  <c:v>13.5</c:v>
                </c:pt>
                <c:pt idx="23">
                  <c:v>14.0</c:v>
                </c:pt>
                <c:pt idx="24">
                  <c:v>14.5</c:v>
                </c:pt>
                <c:pt idx="25">
                  <c:v>15.0</c:v>
                </c:pt>
                <c:pt idx="26">
                  <c:v>16.0</c:v>
                </c:pt>
                <c:pt idx="27">
                  <c:v>17.5</c:v>
                </c:pt>
                <c:pt idx="28">
                  <c:v>18.0</c:v>
                </c:pt>
                <c:pt idx="29">
                  <c:v>19.0</c:v>
                </c:pt>
                <c:pt idx="30">
                  <c:v>23.0</c:v>
                </c:pt>
                <c:pt idx="31">
                  <c:v>23.5</c:v>
                </c:pt>
                <c:pt idx="32">
                  <c:v>24.0</c:v>
                </c:pt>
                <c:pt idx="33">
                  <c:v>25.5</c:v>
                </c:pt>
                <c:pt idx="34">
                  <c:v>26.5</c:v>
                </c:pt>
                <c:pt idx="35">
                  <c:v>27.5</c:v>
                </c:pt>
                <c:pt idx="36">
                  <c:v>28.5</c:v>
                </c:pt>
                <c:pt idx="37">
                  <c:v>29.5</c:v>
                </c:pt>
                <c:pt idx="38">
                  <c:v>30.5</c:v>
                </c:pt>
                <c:pt idx="39">
                  <c:v>31.5</c:v>
                </c:pt>
                <c:pt idx="40">
                  <c:v>32.5</c:v>
                </c:pt>
                <c:pt idx="41">
                  <c:v>33.5</c:v>
                </c:pt>
                <c:pt idx="42">
                  <c:v>35.5</c:v>
                </c:pt>
                <c:pt idx="43">
                  <c:v>36.5</c:v>
                </c:pt>
                <c:pt idx="44">
                  <c:v>48.0</c:v>
                </c:pt>
              </c:numCache>
            </c:numRef>
          </c:cat>
          <c:val>
            <c:numRef>
              <c:f>'temp data'!$E$8:$E$52</c:f>
              <c:numCache>
                <c:formatCode>General</c:formatCode>
                <c:ptCount val="45"/>
                <c:pt idx="0">
                  <c:v>27.0</c:v>
                </c:pt>
                <c:pt idx="1">
                  <c:v>27.0</c:v>
                </c:pt>
                <c:pt idx="2">
                  <c:v>27.0</c:v>
                </c:pt>
                <c:pt idx="3">
                  <c:v>27.0</c:v>
                </c:pt>
                <c:pt idx="4">
                  <c:v>27.0</c:v>
                </c:pt>
                <c:pt idx="5">
                  <c:v>27.0</c:v>
                </c:pt>
                <c:pt idx="6">
                  <c:v>27.0</c:v>
                </c:pt>
                <c:pt idx="7">
                  <c:v>27.0</c:v>
                </c:pt>
                <c:pt idx="8">
                  <c:v>27.0</c:v>
                </c:pt>
                <c:pt idx="9">
                  <c:v>27.4</c:v>
                </c:pt>
                <c:pt idx="10">
                  <c:v>27.6</c:v>
                </c:pt>
                <c:pt idx="11">
                  <c:v>27.6</c:v>
                </c:pt>
                <c:pt idx="12">
                  <c:v>27.6</c:v>
                </c:pt>
                <c:pt idx="13">
                  <c:v>27.6</c:v>
                </c:pt>
                <c:pt idx="14">
                  <c:v>27.7</c:v>
                </c:pt>
                <c:pt idx="15">
                  <c:v>27.7</c:v>
                </c:pt>
                <c:pt idx="16">
                  <c:v>27.7</c:v>
                </c:pt>
                <c:pt idx="17">
                  <c:v>27.7</c:v>
                </c:pt>
                <c:pt idx="18">
                  <c:v>27.7</c:v>
                </c:pt>
                <c:pt idx="19">
                  <c:v>26.9</c:v>
                </c:pt>
                <c:pt idx="20">
                  <c:v>26.9</c:v>
                </c:pt>
                <c:pt idx="21">
                  <c:v>26.9</c:v>
                </c:pt>
                <c:pt idx="22">
                  <c:v>26.9</c:v>
                </c:pt>
                <c:pt idx="23">
                  <c:v>26.9</c:v>
                </c:pt>
                <c:pt idx="24">
                  <c:v>26.9</c:v>
                </c:pt>
                <c:pt idx="25">
                  <c:v>26.9</c:v>
                </c:pt>
                <c:pt idx="26">
                  <c:v>26.9</c:v>
                </c:pt>
                <c:pt idx="27">
                  <c:v>26.8</c:v>
                </c:pt>
                <c:pt idx="28">
                  <c:v>27.6</c:v>
                </c:pt>
                <c:pt idx="29">
                  <c:v>27.6</c:v>
                </c:pt>
                <c:pt idx="30">
                  <c:v>27.4</c:v>
                </c:pt>
                <c:pt idx="31">
                  <c:v>27.3</c:v>
                </c:pt>
                <c:pt idx="32">
                  <c:v>26.9</c:v>
                </c:pt>
                <c:pt idx="33">
                  <c:v>27.0</c:v>
                </c:pt>
                <c:pt idx="34">
                  <c:v>27.1</c:v>
                </c:pt>
                <c:pt idx="35">
                  <c:v>27.1</c:v>
                </c:pt>
                <c:pt idx="36">
                  <c:v>27.3</c:v>
                </c:pt>
                <c:pt idx="37">
                  <c:v>27.2</c:v>
                </c:pt>
                <c:pt idx="38">
                  <c:v>27.6</c:v>
                </c:pt>
                <c:pt idx="39">
                  <c:v>27.7</c:v>
                </c:pt>
                <c:pt idx="40">
                  <c:v>27.6</c:v>
                </c:pt>
                <c:pt idx="41">
                  <c:v>27.5</c:v>
                </c:pt>
                <c:pt idx="42">
                  <c:v>27.4</c:v>
                </c:pt>
                <c:pt idx="43">
                  <c:v>27.3</c:v>
                </c:pt>
                <c:pt idx="44">
                  <c:v>27.1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1444376"/>
        <c:axId val="2071450792"/>
      </c:lineChart>
      <c:catAx>
        <c:axId val="2071444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time of measurement</a:t>
                </a:r>
              </a:p>
            </c:rich>
          </c:tx>
          <c:layout>
            <c:manualLayout>
              <c:xMode val="edge"/>
              <c:yMode val="edge"/>
              <c:x val="0.360347709700844"/>
              <c:y val="0.9384335208098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714507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71450792"/>
        <c:scaling>
          <c:orientation val="minMax"/>
          <c:min val="26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C</a:t>
                </a:r>
              </a:p>
            </c:rich>
          </c:tx>
          <c:layout>
            <c:manualLayout>
              <c:xMode val="edge"/>
              <c:yMode val="edge"/>
              <c:x val="0.0188133445344648"/>
              <c:y val="0.4869406074240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71444376"/>
        <c:crosses val="autoZero"/>
        <c:crossBetween val="between"/>
        <c:majorUnit val="2.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079224274181"/>
          <c:y val="0.430970528683914"/>
          <c:w val="0.185238997024106"/>
          <c:h val="0.136194150731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200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'Sym EST breakdown'!$G$2:$G$9</c:f>
              <c:strCache>
                <c:ptCount val="8"/>
                <c:pt idx="0">
                  <c:v>metabolism</c:v>
                </c:pt>
                <c:pt idx="1">
                  <c:v>photosynthesis</c:v>
                </c:pt>
                <c:pt idx="2">
                  <c:v>protein homeostasis</c:v>
                </c:pt>
                <c:pt idx="3">
                  <c:v>transporter</c:v>
                </c:pt>
                <c:pt idx="4">
                  <c:v>molecular trafficking</c:v>
                </c:pt>
                <c:pt idx="5">
                  <c:v>translation</c:v>
                </c:pt>
                <c:pt idx="6">
                  <c:v>structural</c:v>
                </c:pt>
                <c:pt idx="7">
                  <c:v>other functions</c:v>
                </c:pt>
              </c:strCache>
            </c:strRef>
          </c:cat>
          <c:val>
            <c:numRef>
              <c:f>'Sym EST breakdown'!$H$2:$H$9</c:f>
              <c:numCache>
                <c:formatCode>General</c:formatCode>
                <c:ptCount val="8"/>
                <c:pt idx="0">
                  <c:v>34.09090909090908</c:v>
                </c:pt>
                <c:pt idx="1">
                  <c:v>20.45454545454546</c:v>
                </c:pt>
                <c:pt idx="2">
                  <c:v>13.63636363636363</c:v>
                </c:pt>
                <c:pt idx="3">
                  <c:v>6.818181818181817</c:v>
                </c:pt>
                <c:pt idx="4">
                  <c:v>4.545454545454546</c:v>
                </c:pt>
                <c:pt idx="5">
                  <c:v>4.545454545454546</c:v>
                </c:pt>
                <c:pt idx="6">
                  <c:v>4.545454545454546</c:v>
                </c:pt>
                <c:pt idx="7">
                  <c:v>11.36363636363637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  <a:effectLst/>
          </c:spPr>
          <c:marker>
            <c:symbol val="squar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qPCRs'!$AI$36:$AI$39</c:f>
                <c:numCache>
                  <c:formatCode>General</c:formatCode>
                  <c:ptCount val="4"/>
                  <c:pt idx="0">
                    <c:v>0.12540145765758</c:v>
                  </c:pt>
                  <c:pt idx="1">
                    <c:v>0.033607174766444</c:v>
                  </c:pt>
                  <c:pt idx="2">
                    <c:v>0.0112595638360364</c:v>
                  </c:pt>
                  <c:pt idx="3">
                    <c:v>0.0243968479133626</c:v>
                  </c:pt>
                </c:numCache>
              </c:numRef>
            </c:plus>
            <c:minus>
              <c:numRef>
                <c:f>'2012 qPCRs'!$AI$36:$AI$39</c:f>
                <c:numCache>
                  <c:formatCode>General</c:formatCode>
                  <c:ptCount val="4"/>
                  <c:pt idx="0">
                    <c:v>0.12540145765758</c:v>
                  </c:pt>
                  <c:pt idx="1">
                    <c:v>0.033607174766444</c:v>
                  </c:pt>
                  <c:pt idx="2">
                    <c:v>0.0112595638360364</c:v>
                  </c:pt>
                  <c:pt idx="3">
                    <c:v>0.0243968479133626</c:v>
                  </c:pt>
                </c:numCache>
              </c:numRef>
            </c:minus>
          </c:errBars>
          <c:cat>
            <c:numRef>
              <c:f>'2012 qPCRs'!$AF$36:$AF$39</c:f>
              <c:numCache>
                <c:formatCode>General</c:formatCode>
                <c:ptCount val="4"/>
                <c:pt idx="0">
                  <c:v>6.0</c:v>
                </c:pt>
                <c:pt idx="1">
                  <c:v>12.0</c:v>
                </c:pt>
                <c:pt idx="2">
                  <c:v>24.0</c:v>
                </c:pt>
                <c:pt idx="3">
                  <c:v>48.0</c:v>
                </c:pt>
              </c:numCache>
            </c:numRef>
          </c:cat>
          <c:val>
            <c:numRef>
              <c:f>'2012 qPCRs'!$AG$36:$AG$39</c:f>
              <c:numCache>
                <c:formatCode>General</c:formatCode>
                <c:ptCount val="4"/>
                <c:pt idx="0">
                  <c:v>0.241237496538225</c:v>
                </c:pt>
                <c:pt idx="1">
                  <c:v>0.155996683441893</c:v>
                </c:pt>
                <c:pt idx="2">
                  <c:v>0.0406666666666667</c:v>
                </c:pt>
                <c:pt idx="3">
                  <c:v>0.071432445066156</c:v>
                </c:pt>
              </c:numCache>
            </c:numRef>
          </c:val>
          <c:smooth val="0"/>
        </c:ser>
        <c:ser>
          <c:idx val="1"/>
          <c:order val="1"/>
          <c:spPr>
            <a:ln w="47625">
              <a:noFill/>
            </a:ln>
            <a:effectLst/>
          </c:spPr>
          <c:marker>
            <c:symbol val="diamond"/>
            <c:size val="10"/>
            <c:spPr>
              <a:solidFill>
                <a:schemeClr val="tx1"/>
              </a:solidFill>
              <a:ln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qPCRs'!$AL$36:$AL$39</c:f>
                <c:numCache>
                  <c:formatCode>General</c:formatCode>
                  <c:ptCount val="4"/>
                  <c:pt idx="0">
                    <c:v>0.0383778023367905</c:v>
                  </c:pt>
                  <c:pt idx="1">
                    <c:v>0.0361597577481822</c:v>
                  </c:pt>
                  <c:pt idx="2">
                    <c:v>0.0501868264180657</c:v>
                  </c:pt>
                  <c:pt idx="3">
                    <c:v>0.0131169726395755</c:v>
                  </c:pt>
                </c:numCache>
              </c:numRef>
            </c:plus>
            <c:minus>
              <c:numRef>
                <c:f>'2012 qPCRs'!$AL$36:$AL$39</c:f>
                <c:numCache>
                  <c:formatCode>General</c:formatCode>
                  <c:ptCount val="4"/>
                  <c:pt idx="0">
                    <c:v>0.0383778023367905</c:v>
                  </c:pt>
                  <c:pt idx="1">
                    <c:v>0.0361597577481822</c:v>
                  </c:pt>
                  <c:pt idx="2">
                    <c:v>0.0501868264180657</c:v>
                  </c:pt>
                  <c:pt idx="3">
                    <c:v>0.0131169726395755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cat>
            <c:numRef>
              <c:f>'2012 qPCRs'!$AF$36:$AF$39</c:f>
              <c:numCache>
                <c:formatCode>General</c:formatCode>
                <c:ptCount val="4"/>
                <c:pt idx="0">
                  <c:v>6.0</c:v>
                </c:pt>
                <c:pt idx="1">
                  <c:v>12.0</c:v>
                </c:pt>
                <c:pt idx="2">
                  <c:v>24.0</c:v>
                </c:pt>
                <c:pt idx="3">
                  <c:v>48.0</c:v>
                </c:pt>
              </c:numCache>
            </c:numRef>
          </c:cat>
          <c:val>
            <c:numRef>
              <c:f>'2012 qPCRs'!$AJ$36:$AJ$39</c:f>
              <c:numCache>
                <c:formatCode>General</c:formatCode>
                <c:ptCount val="4"/>
                <c:pt idx="0">
                  <c:v>0.0803128516887618</c:v>
                </c:pt>
                <c:pt idx="1">
                  <c:v>0.100264463481062</c:v>
                </c:pt>
                <c:pt idx="2">
                  <c:v>0.12995411044151</c:v>
                </c:pt>
                <c:pt idx="3">
                  <c:v>0.0458516481477655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831496"/>
        <c:axId val="2076834808"/>
      </c:lineChart>
      <c:catAx>
        <c:axId val="207683149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2700">
            <a:solidFill>
              <a:schemeClr val="tx1"/>
            </a:solidFill>
          </a:ln>
        </c:spPr>
        <c:crossAx val="2076834808"/>
        <c:crosses val="autoZero"/>
        <c:auto val="1"/>
        <c:lblAlgn val="ctr"/>
        <c:lblOffset val="100"/>
        <c:noMultiLvlLbl val="0"/>
      </c:catAx>
      <c:valAx>
        <c:axId val="2076834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76831496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 sz="12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  <a:effectLst/>
          </c:spPr>
          <c:marker>
            <c:symbol val="square"/>
            <c:size val="10"/>
            <c:spPr>
              <a:noFill/>
              <a:ln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qPCRs'!$AZ$42:$AZ$45</c:f>
                <c:numCache>
                  <c:formatCode>General</c:formatCode>
                  <c:ptCount val="4"/>
                  <c:pt idx="0">
                    <c:v>2244.954639143707</c:v>
                  </c:pt>
                  <c:pt idx="1">
                    <c:v>429.5320168262469</c:v>
                  </c:pt>
                  <c:pt idx="2">
                    <c:v>1492.482636165679</c:v>
                  </c:pt>
                  <c:pt idx="3">
                    <c:v>1058.983587519971</c:v>
                  </c:pt>
                </c:numCache>
              </c:numRef>
            </c:plus>
            <c:minus>
              <c:numRef>
                <c:f>'2012 qPCRs'!$AZ$42:$AZ$45</c:f>
                <c:numCache>
                  <c:formatCode>General</c:formatCode>
                  <c:ptCount val="4"/>
                  <c:pt idx="0">
                    <c:v>2244.954639143707</c:v>
                  </c:pt>
                  <c:pt idx="1">
                    <c:v>429.5320168262469</c:v>
                  </c:pt>
                  <c:pt idx="2">
                    <c:v>1492.482636165679</c:v>
                  </c:pt>
                  <c:pt idx="3">
                    <c:v>1058.983587519971</c:v>
                  </c:pt>
                </c:numCache>
              </c:numRef>
            </c:minus>
          </c:errBars>
          <c:cat>
            <c:numRef>
              <c:f>'2012 qPCRs'!$AW$42:$AW$45</c:f>
              <c:numCache>
                <c:formatCode>General</c:formatCode>
                <c:ptCount val="4"/>
                <c:pt idx="0">
                  <c:v>6.0</c:v>
                </c:pt>
                <c:pt idx="1">
                  <c:v>12.0</c:v>
                </c:pt>
                <c:pt idx="2">
                  <c:v>24.0</c:v>
                </c:pt>
                <c:pt idx="3">
                  <c:v>48.0</c:v>
                </c:pt>
              </c:numCache>
            </c:numRef>
          </c:cat>
          <c:val>
            <c:numRef>
              <c:f>'2012 qPCRs'!$AX$42:$AX$45</c:f>
              <c:numCache>
                <c:formatCode>General</c:formatCode>
                <c:ptCount val="4"/>
                <c:pt idx="0">
                  <c:v>2429.185273900067</c:v>
                </c:pt>
                <c:pt idx="1">
                  <c:v>1161.160005945239</c:v>
                </c:pt>
                <c:pt idx="2">
                  <c:v>2429.50299079375</c:v>
                </c:pt>
                <c:pt idx="3">
                  <c:v>2334.248835511497</c:v>
                </c:pt>
              </c:numCache>
            </c:numRef>
          </c:val>
          <c:smooth val="0"/>
        </c:ser>
        <c:ser>
          <c:idx val="1"/>
          <c:order val="1"/>
          <c:tx>
            <c:v>high</c:v>
          </c:tx>
          <c:spPr>
            <a:ln>
              <a:noFill/>
            </a:ln>
            <a:effectLst/>
          </c:spPr>
          <c:marker>
            <c:symbol val="diamond"/>
            <c:size val="10"/>
            <c:spPr>
              <a:solidFill>
                <a:schemeClr val="tx1"/>
              </a:solidFill>
              <a:ln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qPCRs'!$BC$42:$BC$45</c:f>
                <c:numCache>
                  <c:formatCode>General</c:formatCode>
                  <c:ptCount val="4"/>
                  <c:pt idx="0">
                    <c:v>2172.509425595936</c:v>
                  </c:pt>
                  <c:pt idx="1">
                    <c:v>603.9044323758514</c:v>
                  </c:pt>
                  <c:pt idx="2">
                    <c:v>1132.232309382691</c:v>
                  </c:pt>
                  <c:pt idx="3">
                    <c:v>779.7453731028434</c:v>
                  </c:pt>
                </c:numCache>
              </c:numRef>
            </c:plus>
            <c:minus>
              <c:numRef>
                <c:f>'2012 qPCRs'!$BC$42:$BC$45</c:f>
                <c:numCache>
                  <c:formatCode>General</c:formatCode>
                  <c:ptCount val="4"/>
                  <c:pt idx="0">
                    <c:v>2172.509425595936</c:v>
                  </c:pt>
                  <c:pt idx="1">
                    <c:v>603.9044323758514</c:v>
                  </c:pt>
                  <c:pt idx="2">
                    <c:v>1132.232309382691</c:v>
                  </c:pt>
                  <c:pt idx="3">
                    <c:v>779.7453731028434</c:v>
                  </c:pt>
                </c:numCache>
              </c:numRef>
            </c:minus>
          </c:errBars>
          <c:cat>
            <c:numRef>
              <c:f>'2012 qPCRs'!$AW$42:$AW$45</c:f>
              <c:numCache>
                <c:formatCode>General</c:formatCode>
                <c:ptCount val="4"/>
                <c:pt idx="0">
                  <c:v>6.0</c:v>
                </c:pt>
                <c:pt idx="1">
                  <c:v>12.0</c:v>
                </c:pt>
                <c:pt idx="2">
                  <c:v>24.0</c:v>
                </c:pt>
                <c:pt idx="3">
                  <c:v>48.0</c:v>
                </c:pt>
              </c:numCache>
            </c:numRef>
          </c:cat>
          <c:val>
            <c:numRef>
              <c:f>'2012 qPCRs'!$BA$42:$BA$45</c:f>
              <c:numCache>
                <c:formatCode>General</c:formatCode>
                <c:ptCount val="4"/>
                <c:pt idx="0">
                  <c:v>2789.556580433972</c:v>
                </c:pt>
                <c:pt idx="1">
                  <c:v>1443.778036378871</c:v>
                </c:pt>
                <c:pt idx="2">
                  <c:v>1737.176860322457</c:v>
                </c:pt>
                <c:pt idx="3">
                  <c:v>2008.804969241884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871096"/>
        <c:axId val="2076874408"/>
      </c:lineChart>
      <c:catAx>
        <c:axId val="207687109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2700">
            <a:solidFill>
              <a:schemeClr val="tx1"/>
            </a:solidFill>
          </a:ln>
        </c:spPr>
        <c:crossAx val="2076874408"/>
        <c:crosses val="autoZero"/>
        <c:auto val="1"/>
        <c:lblAlgn val="ctr"/>
        <c:lblOffset val="100"/>
        <c:noMultiLvlLbl val="0"/>
      </c:catAx>
      <c:valAx>
        <c:axId val="2076874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076871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control</c:v>
          </c:tx>
          <c:spPr>
            <a:ln>
              <a:noFill/>
            </a:ln>
            <a:effectLst/>
          </c:spPr>
          <c:marker>
            <c:symbol val="square"/>
            <c:size val="10"/>
            <c:spPr>
              <a:noFill/>
              <a:ln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qPCRs'!$AP$42:$AP$45</c:f>
                <c:numCache>
                  <c:formatCode>General</c:formatCode>
                  <c:ptCount val="4"/>
                  <c:pt idx="0">
                    <c:v>244.812211608186</c:v>
                  </c:pt>
                  <c:pt idx="1">
                    <c:v>45.68920929091416</c:v>
                  </c:pt>
                  <c:pt idx="2">
                    <c:v>162.2307583158945</c:v>
                  </c:pt>
                  <c:pt idx="3">
                    <c:v>101.4314107601739</c:v>
                  </c:pt>
                </c:numCache>
              </c:numRef>
            </c:plus>
            <c:minus>
              <c:numRef>
                <c:f>'2012 qPCRs'!$AP$42:$AP$45</c:f>
                <c:numCache>
                  <c:formatCode>General</c:formatCode>
                  <c:ptCount val="4"/>
                  <c:pt idx="0">
                    <c:v>244.812211608186</c:v>
                  </c:pt>
                  <c:pt idx="1">
                    <c:v>45.68920929091416</c:v>
                  </c:pt>
                  <c:pt idx="2">
                    <c:v>162.2307583158945</c:v>
                  </c:pt>
                  <c:pt idx="3">
                    <c:v>101.4314107601739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cat>
            <c:numRef>
              <c:f>'2012 qPCRs'!$AM$42:$AM$45</c:f>
              <c:numCache>
                <c:formatCode>General</c:formatCode>
                <c:ptCount val="4"/>
                <c:pt idx="0">
                  <c:v>6.0</c:v>
                </c:pt>
                <c:pt idx="1">
                  <c:v>12.0</c:v>
                </c:pt>
                <c:pt idx="2">
                  <c:v>24.0</c:v>
                </c:pt>
                <c:pt idx="3">
                  <c:v>48.0</c:v>
                </c:pt>
              </c:numCache>
            </c:numRef>
          </c:cat>
          <c:val>
            <c:numRef>
              <c:f>'2012 qPCRs'!$AN$42:$AN$45</c:f>
              <c:numCache>
                <c:formatCode>General</c:formatCode>
                <c:ptCount val="4"/>
                <c:pt idx="0">
                  <c:v>272.0469441277012</c:v>
                </c:pt>
                <c:pt idx="1">
                  <c:v>145.8158915558324</c:v>
                </c:pt>
                <c:pt idx="2">
                  <c:v>280.7243356284808</c:v>
                </c:pt>
                <c:pt idx="3">
                  <c:v>216.1640556628945</c:v>
                </c:pt>
              </c:numCache>
            </c:numRef>
          </c:val>
          <c:smooth val="0"/>
        </c:ser>
        <c:ser>
          <c:idx val="1"/>
          <c:order val="1"/>
          <c:spPr>
            <a:ln>
              <a:noFill/>
            </a:ln>
            <a:effectLst/>
          </c:spPr>
          <c:marker>
            <c:symbol val="diamond"/>
            <c:size val="9"/>
            <c:spPr>
              <a:solidFill>
                <a:schemeClr val="tx1"/>
              </a:solidFill>
              <a:ln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qPCRs'!$AS$42:$AS$45</c:f>
                <c:numCache>
                  <c:formatCode>General</c:formatCode>
                  <c:ptCount val="4"/>
                  <c:pt idx="0">
                    <c:v>177.5917798029375</c:v>
                  </c:pt>
                  <c:pt idx="1">
                    <c:v>59.05897443437953</c:v>
                  </c:pt>
                  <c:pt idx="2">
                    <c:v>108.025242815259</c:v>
                  </c:pt>
                  <c:pt idx="3">
                    <c:v>86.344055686843</c:v>
                  </c:pt>
                </c:numCache>
              </c:numRef>
            </c:plus>
            <c:minus>
              <c:numRef>
                <c:f>'2012 qPCRs'!$AS$42:$AS$45</c:f>
                <c:numCache>
                  <c:formatCode>General</c:formatCode>
                  <c:ptCount val="4"/>
                  <c:pt idx="0">
                    <c:v>177.5917798029375</c:v>
                  </c:pt>
                  <c:pt idx="1">
                    <c:v>59.05897443437953</c:v>
                  </c:pt>
                  <c:pt idx="2">
                    <c:v>108.025242815259</c:v>
                  </c:pt>
                  <c:pt idx="3">
                    <c:v>86.344055686843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val>
            <c:numRef>
              <c:f>'2012 qPCRs'!$AQ$42:$AQ$45</c:f>
              <c:numCache>
                <c:formatCode>General</c:formatCode>
                <c:ptCount val="4"/>
                <c:pt idx="0">
                  <c:v>246.9153570646141</c:v>
                </c:pt>
                <c:pt idx="1">
                  <c:v>171.5295648436571</c:v>
                </c:pt>
                <c:pt idx="2">
                  <c:v>197.6324603373388</c:v>
                </c:pt>
                <c:pt idx="3">
                  <c:v>211.1185421226413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909240"/>
        <c:axId val="2076912552"/>
      </c:lineChart>
      <c:catAx>
        <c:axId val="207690924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2700">
            <a:solidFill>
              <a:schemeClr val="tx1"/>
            </a:solidFill>
          </a:ln>
        </c:spPr>
        <c:crossAx val="2076912552"/>
        <c:crosses val="autoZero"/>
        <c:auto val="1"/>
        <c:lblAlgn val="ctr"/>
        <c:lblOffset val="100"/>
        <c:noMultiLvlLbl val="0"/>
      </c:catAx>
      <c:valAx>
        <c:axId val="2076912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076909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22645231846019"/>
                  <c:y val="0.0138888888888889"/>
                </c:manualLayout>
              </c:layout>
              <c:numFmt formatCode="General" sourceLinked="0"/>
            </c:trendlineLbl>
          </c:trendline>
          <c:xVal>
            <c:numRef>
              <c:f>'2012 qPCRs'!$AV$3:$AV$26</c:f>
              <c:numCache>
                <c:formatCode>General</c:formatCode>
                <c:ptCount val="24"/>
                <c:pt idx="0">
                  <c:v>28.69920841574552</c:v>
                </c:pt>
                <c:pt idx="1">
                  <c:v>761.6684529604516</c:v>
                </c:pt>
                <c:pt idx="2">
                  <c:v>25.77317100690674</c:v>
                </c:pt>
                <c:pt idx="3">
                  <c:v>51.94870279036758</c:v>
                </c:pt>
                <c:pt idx="4">
                  <c:v>601.5125180410602</c:v>
                </c:pt>
                <c:pt idx="5">
                  <c:v>87.2848503624144</c:v>
                </c:pt>
                <c:pt idx="6">
                  <c:v>202.1314625561217</c:v>
                </c:pt>
                <c:pt idx="7">
                  <c:v>179.9792813019105</c:v>
                </c:pt>
                <c:pt idx="8">
                  <c:v>55.33693080946508</c:v>
                </c:pt>
                <c:pt idx="9">
                  <c:v>59.79818383437736</c:v>
                </c:pt>
                <c:pt idx="10">
                  <c:v>260.5759915824653</c:v>
                </c:pt>
                <c:pt idx="11">
                  <c:v>194.2145191141286</c:v>
                </c:pt>
                <c:pt idx="12">
                  <c:v>601.5125180410593</c:v>
                </c:pt>
                <c:pt idx="13">
                  <c:v>162.4925895843889</c:v>
                </c:pt>
                <c:pt idx="14">
                  <c:v>78.16789925999434</c:v>
                </c:pt>
                <c:pt idx="15">
                  <c:v>404.5083320594776</c:v>
                </c:pt>
                <c:pt idx="16">
                  <c:v>40.2488153763709</c:v>
                </c:pt>
                <c:pt idx="17">
                  <c:v>148.1402335761679</c:v>
                </c:pt>
                <c:pt idx="18">
                  <c:v>114.2928757417104</c:v>
                </c:pt>
                <c:pt idx="19">
                  <c:v>115.1730505438341</c:v>
                </c:pt>
                <c:pt idx="20">
                  <c:v>419.026240703139</c:v>
                </c:pt>
                <c:pt idx="21">
                  <c:v>99.12325036703454</c:v>
                </c:pt>
                <c:pt idx="22">
                  <c:v>380.9523809523803</c:v>
                </c:pt>
                <c:pt idx="23">
                  <c:v>153.2799950485092</c:v>
                </c:pt>
              </c:numCache>
            </c:numRef>
          </c:xVal>
          <c:yVal>
            <c:numRef>
              <c:f>'2012 qPCRs'!$BF$3:$BF$26</c:f>
              <c:numCache>
                <c:formatCode>General</c:formatCode>
                <c:ptCount val="24"/>
                <c:pt idx="0">
                  <c:v>162.3472390836777</c:v>
                </c:pt>
                <c:pt idx="1">
                  <c:v>6919.02321456127</c:v>
                </c:pt>
                <c:pt idx="2">
                  <c:v>206.1853680552543</c:v>
                </c:pt>
                <c:pt idx="3">
                  <c:v>401.4331141258843</c:v>
                </c:pt>
                <c:pt idx="4">
                  <c:v>7127.189745122702</c:v>
                </c:pt>
                <c:pt idx="5">
                  <c:v>840.0468820533285</c:v>
                </c:pt>
                <c:pt idx="6">
                  <c:v>1900.921740815151</c:v>
                </c:pt>
                <c:pt idx="7">
                  <c:v>1169.5088202556</c:v>
                </c:pt>
                <c:pt idx="8">
                  <c:v>413.0494567649655</c:v>
                </c:pt>
                <c:pt idx="9">
                  <c:v>362.5483915399996</c:v>
                </c:pt>
                <c:pt idx="10">
                  <c:v>2450.556490660343</c:v>
                </c:pt>
                <c:pt idx="11">
                  <c:v>1518.229226936271</c:v>
                </c:pt>
                <c:pt idx="12">
                  <c:v>5401.399784672752</c:v>
                </c:pt>
                <c:pt idx="13">
                  <c:v>1185.185185185183</c:v>
                </c:pt>
                <c:pt idx="14">
                  <c:v>701.9240025233148</c:v>
                </c:pt>
                <c:pt idx="15">
                  <c:v>3984.065385331959</c:v>
                </c:pt>
                <c:pt idx="16">
                  <c:v>369.8699841073324</c:v>
                </c:pt>
                <c:pt idx="17">
                  <c:v>857.5952115280806</c:v>
                </c:pt>
                <c:pt idx="18">
                  <c:v>1591.963637722879</c:v>
                </c:pt>
                <c:pt idx="19">
                  <c:v>987.5153533778585</c:v>
                </c:pt>
                <c:pt idx="20">
                  <c:v>4423.267515433752</c:v>
                </c:pt>
                <c:pt idx="21">
                  <c:v>869.7668565687014</c:v>
                </c:pt>
                <c:pt idx="22">
                  <c:v>3500.794986657638</c:v>
                </c:pt>
                <c:pt idx="23">
                  <c:v>1655.853064499314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6936152"/>
        <c:axId val="2076939048"/>
      </c:scatterChart>
      <c:valAx>
        <c:axId val="2076936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6939048"/>
        <c:crosses val="autoZero"/>
        <c:crossBetween val="midCat"/>
      </c:valAx>
      <c:valAx>
        <c:axId val="2076939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69361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control</c:v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47169947506562"/>
                  <c:y val="0.0138888888888889"/>
                </c:manualLayout>
              </c:layout>
              <c:numFmt formatCode="General" sourceLinked="0"/>
            </c:trendlineLbl>
          </c:trendline>
          <c:xVal>
            <c:numRef>
              <c:f>'2012 qPCRs'!$BZ$3:$BZ$26</c:f>
              <c:numCache>
                <c:formatCode>General</c:formatCode>
                <c:ptCount val="24"/>
                <c:pt idx="0">
                  <c:v>9.25097680174538</c:v>
                </c:pt>
                <c:pt idx="1">
                  <c:v>323.9631702328495</c:v>
                </c:pt>
                <c:pt idx="2">
                  <c:v>17.00395151465798</c:v>
                </c:pt>
                <c:pt idx="3">
                  <c:v>45.74944972506553</c:v>
                </c:pt>
                <c:pt idx="4">
                  <c:v>146.9434882854513</c:v>
                </c:pt>
                <c:pt idx="5">
                  <c:v>30.85985479305806</c:v>
                </c:pt>
                <c:pt idx="6">
                  <c:v>51.71401538276492</c:v>
                </c:pt>
                <c:pt idx="7">
                  <c:v>39.17026617975238</c:v>
                </c:pt>
                <c:pt idx="8">
                  <c:v>15.8913603478544</c:v>
                </c:pt>
                <c:pt idx="9">
                  <c:v>16.3970354424791</c:v>
                </c:pt>
                <c:pt idx="10">
                  <c:v>87.96719405152614</c:v>
                </c:pt>
                <c:pt idx="11">
                  <c:v>75.3137084989847</c:v>
                </c:pt>
                <c:pt idx="12">
                  <c:v>255.8434729991937</c:v>
                </c:pt>
                <c:pt idx="13">
                  <c:v>41.57266845590257</c:v>
                </c:pt>
                <c:pt idx="14">
                  <c:v>24.0589931192126</c:v>
                </c:pt>
                <c:pt idx="15">
                  <c:v>108.3853239190416</c:v>
                </c:pt>
                <c:pt idx="16">
                  <c:v>10.78440305472923</c:v>
                </c:pt>
                <c:pt idx="17">
                  <c:v>48.8680525268747</c:v>
                </c:pt>
                <c:pt idx="18">
                  <c:v>53.31951188231635</c:v>
                </c:pt>
                <c:pt idx="19">
                  <c:v>53.73012794666641</c:v>
                </c:pt>
                <c:pt idx="20">
                  <c:v>182.3917649399875</c:v>
                </c:pt>
                <c:pt idx="21">
                  <c:v>35.86450774282714</c:v>
                </c:pt>
                <c:pt idx="22">
                  <c:v>251.3348401472182</c:v>
                </c:pt>
                <c:pt idx="23">
                  <c:v>82.14071551534324</c:v>
                </c:pt>
              </c:numCache>
            </c:numRef>
          </c:xVal>
          <c:yVal>
            <c:numRef>
              <c:f>'2012 qPCRs'!$AV$3:$AV$26</c:f>
              <c:numCache>
                <c:formatCode>General</c:formatCode>
                <c:ptCount val="24"/>
                <c:pt idx="0">
                  <c:v>28.69920841574552</c:v>
                </c:pt>
                <c:pt idx="1">
                  <c:v>761.6684529604516</c:v>
                </c:pt>
                <c:pt idx="2">
                  <c:v>25.77317100690674</c:v>
                </c:pt>
                <c:pt idx="3">
                  <c:v>51.94870279036758</c:v>
                </c:pt>
                <c:pt idx="4">
                  <c:v>601.5125180410602</c:v>
                </c:pt>
                <c:pt idx="5">
                  <c:v>87.2848503624144</c:v>
                </c:pt>
                <c:pt idx="6">
                  <c:v>202.1314625561217</c:v>
                </c:pt>
                <c:pt idx="7">
                  <c:v>179.9792813019105</c:v>
                </c:pt>
                <c:pt idx="8">
                  <c:v>55.33693080946508</c:v>
                </c:pt>
                <c:pt idx="9">
                  <c:v>59.79818383437736</c:v>
                </c:pt>
                <c:pt idx="10">
                  <c:v>260.5759915824653</c:v>
                </c:pt>
                <c:pt idx="11">
                  <c:v>194.2145191141286</c:v>
                </c:pt>
                <c:pt idx="12">
                  <c:v>601.5125180410593</c:v>
                </c:pt>
                <c:pt idx="13">
                  <c:v>162.4925895843889</c:v>
                </c:pt>
                <c:pt idx="14">
                  <c:v>78.16789925999434</c:v>
                </c:pt>
                <c:pt idx="15">
                  <c:v>404.5083320594776</c:v>
                </c:pt>
                <c:pt idx="16">
                  <c:v>40.2488153763709</c:v>
                </c:pt>
                <c:pt idx="17">
                  <c:v>148.1402335761679</c:v>
                </c:pt>
                <c:pt idx="18">
                  <c:v>114.2928757417104</c:v>
                </c:pt>
                <c:pt idx="19">
                  <c:v>115.1730505438341</c:v>
                </c:pt>
                <c:pt idx="20">
                  <c:v>419.026240703139</c:v>
                </c:pt>
                <c:pt idx="21">
                  <c:v>99.12325036703454</c:v>
                </c:pt>
                <c:pt idx="22">
                  <c:v>380.9523809523803</c:v>
                </c:pt>
                <c:pt idx="23">
                  <c:v>153.2799950485092</c:v>
                </c:pt>
              </c:numCache>
            </c:numRef>
          </c:yVal>
          <c:smooth val="0"/>
        </c:ser>
        <c:ser>
          <c:idx val="1"/>
          <c:order val="1"/>
          <c:spPr>
            <a:ln w="47625">
              <a:noFill/>
            </a:ln>
          </c:spPr>
          <c:yVal>
            <c:numRef>
              <c:f>'2012 qPCRs'!$BU$34:$BU$37</c:f>
              <c:numCache>
                <c:formatCode>General</c:formatCode>
                <c:ptCount val="4"/>
                <c:pt idx="0">
                  <c:v>74.51759760119162</c:v>
                </c:pt>
                <c:pt idx="1">
                  <c:v>59.89264599766332</c:v>
                </c:pt>
                <c:pt idx="2">
                  <c:v>56.01259316688184</c:v>
                </c:pt>
                <c:pt idx="3">
                  <c:v>123.1133544684628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6970952"/>
        <c:axId val="2076973944"/>
      </c:scatterChart>
      <c:valAx>
        <c:axId val="207697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6973944"/>
        <c:crosses val="autoZero"/>
        <c:crossBetween val="midCat"/>
      </c:valAx>
      <c:valAx>
        <c:axId val="2076973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69709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control</c:v>
          </c:tx>
          <c:spPr>
            <a:ln>
              <a:noFill/>
            </a:ln>
            <a:effectLst/>
          </c:spPr>
          <c:marker>
            <c:symbol val="square"/>
            <c:size val="9"/>
            <c:spPr>
              <a:noFill/>
              <a:ln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qPCRs'!$AY$34:$AY$37</c:f>
                <c:numCache>
                  <c:formatCode>General</c:formatCode>
                  <c:ptCount val="4"/>
                  <c:pt idx="0">
                    <c:v>6.209728018927403</c:v>
                  </c:pt>
                  <c:pt idx="1">
                    <c:v>32.22803566741258</c:v>
                  </c:pt>
                  <c:pt idx="2">
                    <c:v>45.04974987552057</c:v>
                  </c:pt>
                  <c:pt idx="3">
                    <c:v>29.42691253728884</c:v>
                  </c:pt>
                </c:numCache>
              </c:numRef>
            </c:plus>
            <c:minus>
              <c:numRef>
                <c:f>'2012 qPCRs'!$AY$34:$AY$37</c:f>
                <c:numCache>
                  <c:formatCode>General</c:formatCode>
                  <c:ptCount val="4"/>
                  <c:pt idx="0">
                    <c:v>6.209728018927403</c:v>
                  </c:pt>
                  <c:pt idx="1">
                    <c:v>32.22803566741258</c:v>
                  </c:pt>
                  <c:pt idx="2">
                    <c:v>45.04974987552057</c:v>
                  </c:pt>
                  <c:pt idx="3">
                    <c:v>29.42691253728884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cat>
            <c:numRef>
              <c:f>'2012 qPCRs'!$BG$34:$BG$37</c:f>
              <c:numCache>
                <c:formatCode>General</c:formatCode>
                <c:ptCount val="4"/>
                <c:pt idx="0">
                  <c:v>6.0</c:v>
                </c:pt>
                <c:pt idx="1">
                  <c:v>12.0</c:v>
                </c:pt>
                <c:pt idx="2">
                  <c:v>24.0</c:v>
                </c:pt>
                <c:pt idx="3">
                  <c:v>48.0</c:v>
                </c:pt>
              </c:numCache>
            </c:numRef>
          </c:cat>
          <c:val>
            <c:numRef>
              <c:f>'2012 qPCRs'!$AW$34:$AW$37</c:f>
              <c:numCache>
                <c:formatCode>General</c:formatCode>
                <c:ptCount val="4"/>
                <c:pt idx="0">
                  <c:v>67.8873541676419</c:v>
                </c:pt>
                <c:pt idx="1">
                  <c:v>152.6510700285091</c:v>
                </c:pt>
                <c:pt idx="2">
                  <c:v>83.02200175616561</c:v>
                </c:pt>
                <c:pt idx="3">
                  <c:v>123.8493791849126</c:v>
                </c:pt>
              </c:numCache>
            </c:numRef>
          </c:val>
          <c:smooth val="0"/>
        </c:ser>
        <c:ser>
          <c:idx val="1"/>
          <c:order val="1"/>
          <c:spPr>
            <a:ln>
              <a:noFill/>
            </a:ln>
            <a:effectLst/>
          </c:spPr>
          <c:marker>
            <c:symbol val="diamond"/>
            <c:size val="9"/>
            <c:spPr>
              <a:solidFill>
                <a:schemeClr val="tx1"/>
              </a:solidFill>
              <a:ln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qPCRs'!$BB$34:$BB$37</c:f>
                <c:numCache>
                  <c:formatCode>General</c:formatCode>
                  <c:ptCount val="4"/>
                  <c:pt idx="0">
                    <c:v>17.43660978593362</c:v>
                  </c:pt>
                  <c:pt idx="1">
                    <c:v>57.13649013511137</c:v>
                  </c:pt>
                  <c:pt idx="2">
                    <c:v>37.74144051455528</c:v>
                  </c:pt>
                  <c:pt idx="3">
                    <c:v>7.972823487708668</c:v>
                  </c:pt>
                </c:numCache>
              </c:numRef>
            </c:plus>
            <c:minus>
              <c:numRef>
                <c:f>'2012 qPCRs'!$BB$34:$BB$37</c:f>
                <c:numCache>
                  <c:formatCode>General</c:formatCode>
                  <c:ptCount val="4"/>
                  <c:pt idx="0">
                    <c:v>17.43660978593362</c:v>
                  </c:pt>
                  <c:pt idx="1">
                    <c:v>57.13649013511137</c:v>
                  </c:pt>
                  <c:pt idx="2">
                    <c:v>37.74144051455528</c:v>
                  </c:pt>
                  <c:pt idx="3">
                    <c:v>7.972823487708668</c:v>
                  </c:pt>
                </c:numCache>
              </c:numRef>
            </c:minus>
          </c:errBars>
          <c:val>
            <c:numRef>
              <c:f>'2012 qPCRs'!$AZ$34:$AZ$37</c:f>
              <c:numCache>
                <c:formatCode>General</c:formatCode>
                <c:ptCount val="4"/>
                <c:pt idx="0">
                  <c:v>79.24971579343972</c:v>
                </c:pt>
                <c:pt idx="1">
                  <c:v>115.100018259959</c:v>
                </c:pt>
                <c:pt idx="2">
                  <c:v>128.3267663831407</c:v>
                </c:pt>
                <c:pt idx="3">
                  <c:v>71.66090632341911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011880"/>
        <c:axId val="2077015208"/>
      </c:lineChart>
      <c:catAx>
        <c:axId val="207701188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2700">
            <a:solidFill>
              <a:schemeClr val="tx1"/>
            </a:solidFill>
          </a:ln>
        </c:spPr>
        <c:crossAx val="2077015208"/>
        <c:crosses val="autoZero"/>
        <c:auto val="1"/>
        <c:lblAlgn val="ctr"/>
        <c:lblOffset val="100"/>
        <c:noMultiLvlLbl val="0"/>
      </c:catAx>
      <c:valAx>
        <c:axId val="2077015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077011880"/>
        <c:crosses val="autoZero"/>
        <c:crossBetween val="between"/>
        <c:majorUnit val="50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 sz="12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30205818022747"/>
                  <c:y val="-0.0593642461358997"/>
                </c:manualLayout>
              </c:layout>
              <c:numFmt formatCode="General" sourceLinked="0"/>
            </c:trendlineLbl>
          </c:trendline>
          <c:xVal>
            <c:numRef>
              <c:f>'2012 qPCRs'!$BE$3:$BE$26</c:f>
              <c:numCache>
                <c:formatCode>General</c:formatCode>
                <c:ptCount val="24"/>
                <c:pt idx="0">
                  <c:v>71.83757109179969</c:v>
                </c:pt>
                <c:pt idx="1">
                  <c:v>76.10925536017396</c:v>
                </c:pt>
                <c:pt idx="2">
                  <c:v>55.71523605095207</c:v>
                </c:pt>
                <c:pt idx="3">
                  <c:v>59.71411145835567</c:v>
                </c:pt>
                <c:pt idx="4">
                  <c:v>114.0350359219632</c:v>
                </c:pt>
                <c:pt idx="5">
                  <c:v>64.00000000000025</c:v>
                </c:pt>
                <c:pt idx="6">
                  <c:v>198.5465295147185</c:v>
                </c:pt>
                <c:pt idx="7">
                  <c:v>168.8970125789306</c:v>
                </c:pt>
                <c:pt idx="8">
                  <c:v>90.50966799187806</c:v>
                </c:pt>
                <c:pt idx="9">
                  <c:v>43.7132882161407</c:v>
                </c:pt>
                <c:pt idx="10">
                  <c:v>73.51669471981027</c:v>
                </c:pt>
                <c:pt idx="11">
                  <c:v>228.0700718439261</c:v>
                </c:pt>
                <c:pt idx="12">
                  <c:v>172.8447931095281</c:v>
                </c:pt>
                <c:pt idx="13">
                  <c:v>31.99999999999995</c:v>
                </c:pt>
                <c:pt idx="14">
                  <c:v>44.22121215896883</c:v>
                </c:pt>
                <c:pt idx="15">
                  <c:v>203.1873346519299</c:v>
                </c:pt>
                <c:pt idx="16">
                  <c:v>82.51969974013316</c:v>
                </c:pt>
                <c:pt idx="17">
                  <c:v>99.27326475735904</c:v>
                </c:pt>
                <c:pt idx="18">
                  <c:v>176.8848486358754</c:v>
                </c:pt>
                <c:pt idx="19">
                  <c:v>75.23506600215106</c:v>
                </c:pt>
                <c:pt idx="20">
                  <c:v>119.4282229167113</c:v>
                </c:pt>
                <c:pt idx="21">
                  <c:v>57.01751796098192</c:v>
                </c:pt>
                <c:pt idx="22">
                  <c:v>73.5166947198104</c:v>
                </c:pt>
                <c:pt idx="23">
                  <c:v>84.44850628946498</c:v>
                </c:pt>
              </c:numCache>
            </c:numRef>
          </c:xVal>
          <c:yVal>
            <c:numRef>
              <c:f>'2012 qPCRs'!$AU$3:$AU$26</c:f>
              <c:numCache>
                <c:formatCode>General</c:formatCode>
                <c:ptCount val="24"/>
                <c:pt idx="0">
                  <c:v>12.69920841574555</c:v>
                </c:pt>
                <c:pt idx="1">
                  <c:v>8.378352982564967</c:v>
                </c:pt>
                <c:pt idx="2">
                  <c:v>6.964404506368996</c:v>
                </c:pt>
                <c:pt idx="3">
                  <c:v>7.727490631398763</c:v>
                </c:pt>
                <c:pt idx="4">
                  <c:v>9.624200288656963</c:v>
                </c:pt>
                <c:pt idx="5">
                  <c:v>6.649903169142307</c:v>
                </c:pt>
                <c:pt idx="6">
                  <c:v>21.11212657236624</c:v>
                </c:pt>
                <c:pt idx="7">
                  <c:v>25.99207668339953</c:v>
                </c:pt>
                <c:pt idx="8">
                  <c:v>12.12573253208314</c:v>
                </c:pt>
                <c:pt idx="9">
                  <c:v>7.21000370088666</c:v>
                </c:pt>
                <c:pt idx="10">
                  <c:v>7.81727974747396</c:v>
                </c:pt>
                <c:pt idx="11">
                  <c:v>29.17511963386288</c:v>
                </c:pt>
                <c:pt idx="12">
                  <c:v>19.2484005773139</c:v>
                </c:pt>
                <c:pt idx="13">
                  <c:v>4.387299918778499</c:v>
                </c:pt>
                <c:pt idx="14">
                  <c:v>4.924577653379644</c:v>
                </c:pt>
                <c:pt idx="15">
                  <c:v>20.62992493503335</c:v>
                </c:pt>
                <c:pt idx="16">
                  <c:v>8.979696386475005</c:v>
                </c:pt>
                <c:pt idx="17">
                  <c:v>17.14837540058068</c:v>
                </c:pt>
                <c:pt idx="18">
                  <c:v>12.69920841574559</c:v>
                </c:pt>
                <c:pt idx="19">
                  <c:v>8.77459983755704</c:v>
                </c:pt>
                <c:pt idx="20">
                  <c:v>11.31370849898475</c:v>
                </c:pt>
                <c:pt idx="21">
                  <c:v>6.498019170849925</c:v>
                </c:pt>
                <c:pt idx="22">
                  <c:v>7.999999999999987</c:v>
                </c:pt>
                <c:pt idx="23">
                  <c:v>7.817279747473972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038728"/>
        <c:axId val="2077041624"/>
      </c:scatterChart>
      <c:valAx>
        <c:axId val="2077038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7041624"/>
        <c:crosses val="autoZero"/>
        <c:crossBetween val="midCat"/>
      </c:valAx>
      <c:valAx>
        <c:axId val="2077041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70387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control</c:v>
          </c:tx>
          <c:spPr>
            <a:ln>
              <a:noFill/>
            </a:ln>
            <a:effectLst/>
          </c:spPr>
          <c:marker>
            <c:symbol val="square"/>
            <c:size val="9"/>
            <c:spPr>
              <a:noFill/>
              <a:ln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qPCRs'!$AP$34:$AP$37</c:f>
                <c:numCache>
                  <c:formatCode>General</c:formatCode>
                  <c:ptCount val="4"/>
                  <c:pt idx="0">
                    <c:v>1.724931848038309</c:v>
                  </c:pt>
                  <c:pt idx="1">
                    <c:v>4.060956996243855</c:v>
                  </c:pt>
                  <c:pt idx="2">
                    <c:v>4.866626046083009</c:v>
                  </c:pt>
                  <c:pt idx="3">
                    <c:v>1.149135793780915</c:v>
                  </c:pt>
                </c:numCache>
              </c:numRef>
            </c:plus>
            <c:minus>
              <c:numRef>
                <c:f>'2012 qPCRs'!$AP$34:$AP$37</c:f>
                <c:numCache>
                  <c:formatCode>General</c:formatCode>
                  <c:ptCount val="4"/>
                  <c:pt idx="0">
                    <c:v>1.724931848038309</c:v>
                  </c:pt>
                  <c:pt idx="1">
                    <c:v>4.060956996243855</c:v>
                  </c:pt>
                  <c:pt idx="2">
                    <c:v>4.866626046083009</c:v>
                  </c:pt>
                  <c:pt idx="3">
                    <c:v>1.149135793780915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cat>
            <c:numRef>
              <c:f>'2012 qPCRs'!$AM$34:$AM$37</c:f>
              <c:numCache>
                <c:formatCode>General</c:formatCode>
                <c:ptCount val="4"/>
                <c:pt idx="0">
                  <c:v>6.0</c:v>
                </c:pt>
                <c:pt idx="1">
                  <c:v>12.0</c:v>
                </c:pt>
                <c:pt idx="2">
                  <c:v>24.0</c:v>
                </c:pt>
                <c:pt idx="3">
                  <c:v>48.0</c:v>
                </c:pt>
              </c:numCache>
            </c:numRef>
          </c:cat>
          <c:val>
            <c:numRef>
              <c:f>'2012 qPCRs'!$AN$34:$AN$37</c:f>
              <c:numCache>
                <c:formatCode>General</c:formatCode>
                <c:ptCount val="4"/>
                <c:pt idx="0">
                  <c:v>9.347321968226504</c:v>
                </c:pt>
                <c:pt idx="1">
                  <c:v>19.74331192928297</c:v>
                </c:pt>
                <c:pt idx="2">
                  <c:v>9.52009271649068</c:v>
                </c:pt>
                <c:pt idx="3">
                  <c:v>10.92917225076246</c:v>
                </c:pt>
              </c:numCache>
            </c:numRef>
          </c:val>
          <c:smooth val="0"/>
        </c:ser>
        <c:ser>
          <c:idx val="1"/>
          <c:order val="1"/>
          <c:tx>
            <c:v>high</c:v>
          </c:tx>
          <c:spPr>
            <a:ln>
              <a:noFill/>
            </a:ln>
            <a:effectLst/>
          </c:spPr>
          <c:marker>
            <c:symbol val="diamond"/>
            <c:size val="9"/>
            <c:spPr>
              <a:solidFill>
                <a:schemeClr val="tx1"/>
              </a:solidFill>
              <a:ln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qPCRs'!$AS$34:$AS$37</c:f>
                <c:numCache>
                  <c:formatCode>General</c:formatCode>
                  <c:ptCount val="4"/>
                  <c:pt idx="0">
                    <c:v>0.86939140967505</c:v>
                  </c:pt>
                  <c:pt idx="1">
                    <c:v>7.222620433819442</c:v>
                  </c:pt>
                  <c:pt idx="2">
                    <c:v>3.452666676562254</c:v>
                  </c:pt>
                  <c:pt idx="3">
                    <c:v>0.473156162314532</c:v>
                  </c:pt>
                </c:numCache>
              </c:numRef>
            </c:plus>
            <c:minus>
              <c:numRef>
                <c:f>'2012 qPCRs'!$AS$34:$AS$37</c:f>
                <c:numCache>
                  <c:formatCode>General</c:formatCode>
                  <c:ptCount val="4"/>
                  <c:pt idx="0">
                    <c:v>0.86939140967505</c:v>
                  </c:pt>
                  <c:pt idx="1">
                    <c:v>7.222620433819442</c:v>
                  </c:pt>
                  <c:pt idx="2">
                    <c:v>3.452666676562254</c:v>
                  </c:pt>
                  <c:pt idx="3">
                    <c:v>0.473156162314532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val>
            <c:numRef>
              <c:f>'2012 qPCRs'!$AQ$34:$AQ$37</c:f>
              <c:numCache>
                <c:formatCode>General</c:formatCode>
                <c:ptCount val="4"/>
                <c:pt idx="0">
                  <c:v>8.00053136306601</c:v>
                </c:pt>
                <c:pt idx="1">
                  <c:v>14.73413436074117</c:v>
                </c:pt>
                <c:pt idx="2">
                  <c:v>15.58599890736301</c:v>
                </c:pt>
                <c:pt idx="3">
                  <c:v>7.438432972774627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081976"/>
        <c:axId val="2077085288"/>
      </c:lineChart>
      <c:catAx>
        <c:axId val="207708197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2700">
            <a:solidFill>
              <a:schemeClr val="tx1"/>
            </a:solidFill>
          </a:ln>
        </c:spPr>
        <c:crossAx val="2077085288"/>
        <c:crosses val="autoZero"/>
        <c:auto val="1"/>
        <c:lblAlgn val="ctr"/>
        <c:lblOffset val="100"/>
        <c:noMultiLvlLbl val="0"/>
      </c:catAx>
      <c:valAx>
        <c:axId val="2077085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077081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 sz="12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control</c:v>
          </c:tx>
          <c:spPr>
            <a:ln>
              <a:noFill/>
            </a:ln>
            <a:effectLst/>
          </c:spPr>
          <c:marker>
            <c:symbol val="square"/>
            <c:size val="9"/>
            <c:spPr>
              <a:noFill/>
              <a:ln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qPCRs'!$BT$40:$BT$43</c:f>
                <c:numCache>
                  <c:formatCode>General</c:formatCode>
                  <c:ptCount val="4"/>
                  <c:pt idx="0">
                    <c:v>0.297719548088152</c:v>
                  </c:pt>
                  <c:pt idx="1">
                    <c:v>0.68628174702979</c:v>
                  </c:pt>
                  <c:pt idx="2">
                    <c:v>2.292113589483665</c:v>
                  </c:pt>
                  <c:pt idx="3">
                    <c:v>0.529281366380365</c:v>
                  </c:pt>
                </c:numCache>
              </c:numRef>
            </c:plus>
            <c:minus>
              <c:numRef>
                <c:f>'2012 qPCRs'!$BT$40:$BT$43</c:f>
                <c:numCache>
                  <c:formatCode>General</c:formatCode>
                  <c:ptCount val="4"/>
                  <c:pt idx="0">
                    <c:v>0.297719548088152</c:v>
                  </c:pt>
                  <c:pt idx="1">
                    <c:v>0.68628174702979</c:v>
                  </c:pt>
                  <c:pt idx="2">
                    <c:v>2.292113589483665</c:v>
                  </c:pt>
                  <c:pt idx="3">
                    <c:v>0.529281366380365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cat>
            <c:numRef>
              <c:f>'2012 qPCRs'!$BQ$40:$BQ$43</c:f>
              <c:numCache>
                <c:formatCode>General</c:formatCode>
                <c:ptCount val="4"/>
                <c:pt idx="0">
                  <c:v>6.0</c:v>
                </c:pt>
                <c:pt idx="1">
                  <c:v>12.0</c:v>
                </c:pt>
                <c:pt idx="2">
                  <c:v>24.0</c:v>
                </c:pt>
                <c:pt idx="3">
                  <c:v>48.0</c:v>
                </c:pt>
              </c:numCache>
            </c:numRef>
          </c:cat>
          <c:val>
            <c:numRef>
              <c:f>'2012 qPCRs'!$BR$40:$BR$43</c:f>
              <c:numCache>
                <c:formatCode>General</c:formatCode>
                <c:ptCount val="4"/>
                <c:pt idx="0">
                  <c:v>4.083961286845518</c:v>
                </c:pt>
                <c:pt idx="1">
                  <c:v>4.846818762449881</c:v>
                </c:pt>
                <c:pt idx="2">
                  <c:v>3.60838991693132</c:v>
                </c:pt>
                <c:pt idx="3">
                  <c:v>4.980821143504336</c:v>
                </c:pt>
              </c:numCache>
            </c:numRef>
          </c:val>
          <c:smooth val="0"/>
        </c:ser>
        <c:ser>
          <c:idx val="1"/>
          <c:order val="1"/>
          <c:spPr>
            <a:ln>
              <a:noFill/>
            </a:ln>
            <a:effectLst/>
          </c:spPr>
          <c:marker>
            <c:symbol val="diamond"/>
            <c:size val="9"/>
            <c:spPr>
              <a:solidFill>
                <a:schemeClr val="tx1"/>
              </a:solidFill>
              <a:ln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qPCRs'!$BW$40:$BW$43</c:f>
                <c:numCache>
                  <c:formatCode>General</c:formatCode>
                  <c:ptCount val="4"/>
                  <c:pt idx="0">
                    <c:v>1.484747158346532</c:v>
                  </c:pt>
                  <c:pt idx="1">
                    <c:v>3.007972026779679</c:v>
                  </c:pt>
                  <c:pt idx="2">
                    <c:v>1.062722309893104</c:v>
                  </c:pt>
                  <c:pt idx="3">
                    <c:v>0.854110956853026</c:v>
                  </c:pt>
                </c:numCache>
              </c:numRef>
            </c:plus>
            <c:minus>
              <c:numRef>
                <c:f>'2012 qPCRs'!$BW$40:$BW$43</c:f>
                <c:numCache>
                  <c:formatCode>General</c:formatCode>
                  <c:ptCount val="4"/>
                  <c:pt idx="0">
                    <c:v>1.484747158346532</c:v>
                  </c:pt>
                  <c:pt idx="1">
                    <c:v>3.007972026779679</c:v>
                  </c:pt>
                  <c:pt idx="2">
                    <c:v>1.062722309893104</c:v>
                  </c:pt>
                  <c:pt idx="3">
                    <c:v>0.854110956853026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val>
            <c:numRef>
              <c:f>'2012 qPCRs'!$BU$40:$BU$43</c:f>
              <c:numCache>
                <c:formatCode>General</c:formatCode>
                <c:ptCount val="4"/>
                <c:pt idx="0">
                  <c:v>3.835842970913749</c:v>
                </c:pt>
                <c:pt idx="1">
                  <c:v>5.309917453745445</c:v>
                </c:pt>
                <c:pt idx="2">
                  <c:v>4.530185280509254</c:v>
                </c:pt>
                <c:pt idx="3">
                  <c:v>3.939434648980432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119672"/>
        <c:axId val="2077122984"/>
      </c:lineChart>
      <c:catAx>
        <c:axId val="2077119672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2700">
            <a:solidFill>
              <a:schemeClr val="tx1"/>
            </a:solidFill>
          </a:ln>
        </c:spPr>
        <c:crossAx val="2077122984"/>
        <c:crosses val="autoZero"/>
        <c:auto val="1"/>
        <c:lblAlgn val="ctr"/>
        <c:lblOffset val="100"/>
        <c:noMultiLvlLbl val="0"/>
      </c:catAx>
      <c:valAx>
        <c:axId val="2077122984"/>
        <c:scaling>
          <c:orientation val="minMax"/>
          <c:max val="10.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077119672"/>
        <c:crosses val="autoZero"/>
        <c:crossBetween val="between"/>
        <c:majorUnit val="2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 sz="12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80357669973528"/>
          <c:y val="0.101744402673913"/>
          <c:w val="0.623512471074123"/>
          <c:h val="0.773257460321741"/>
        </c:manualLayout>
      </c:layout>
      <c:scatterChart>
        <c:scatterStyle val="lineMarker"/>
        <c:varyColors val="0"/>
        <c:ser>
          <c:idx val="0"/>
          <c:order val="0"/>
          <c:tx>
            <c:v>exp. aquarium 1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'temp data'!$G$8:$G$52</c:f>
              <c:numCache>
                <c:formatCode>General</c:formatCode>
                <c:ptCount val="45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5.0</c:v>
                </c:pt>
                <c:pt idx="9">
                  <c:v>5.5</c:v>
                </c:pt>
                <c:pt idx="10">
                  <c:v>6.0</c:v>
                </c:pt>
                <c:pt idx="11">
                  <c:v>6.5</c:v>
                </c:pt>
                <c:pt idx="12">
                  <c:v>7.0</c:v>
                </c:pt>
                <c:pt idx="13">
                  <c:v>7.5</c:v>
                </c:pt>
                <c:pt idx="14">
                  <c:v>8.0</c:v>
                </c:pt>
                <c:pt idx="15">
                  <c:v>8.5</c:v>
                </c:pt>
                <c:pt idx="16">
                  <c:v>9.0</c:v>
                </c:pt>
                <c:pt idx="17">
                  <c:v>11.0</c:v>
                </c:pt>
                <c:pt idx="18">
                  <c:v>11.5</c:v>
                </c:pt>
                <c:pt idx="19">
                  <c:v>12.0</c:v>
                </c:pt>
                <c:pt idx="20">
                  <c:v>12.5</c:v>
                </c:pt>
                <c:pt idx="21">
                  <c:v>13.0</c:v>
                </c:pt>
                <c:pt idx="22">
                  <c:v>13.5</c:v>
                </c:pt>
                <c:pt idx="23">
                  <c:v>14.0</c:v>
                </c:pt>
                <c:pt idx="24">
                  <c:v>14.5</c:v>
                </c:pt>
                <c:pt idx="25">
                  <c:v>15.0</c:v>
                </c:pt>
                <c:pt idx="26">
                  <c:v>16.0</c:v>
                </c:pt>
                <c:pt idx="27">
                  <c:v>17.5</c:v>
                </c:pt>
                <c:pt idx="28">
                  <c:v>18.0</c:v>
                </c:pt>
                <c:pt idx="29">
                  <c:v>19.0</c:v>
                </c:pt>
                <c:pt idx="30">
                  <c:v>23.0</c:v>
                </c:pt>
                <c:pt idx="31">
                  <c:v>23.5</c:v>
                </c:pt>
                <c:pt idx="32">
                  <c:v>24.0</c:v>
                </c:pt>
                <c:pt idx="33">
                  <c:v>25.5</c:v>
                </c:pt>
                <c:pt idx="34">
                  <c:v>26.5</c:v>
                </c:pt>
                <c:pt idx="35">
                  <c:v>27.5</c:v>
                </c:pt>
                <c:pt idx="36">
                  <c:v>28.5</c:v>
                </c:pt>
                <c:pt idx="37">
                  <c:v>29.5</c:v>
                </c:pt>
                <c:pt idx="38">
                  <c:v>30.5</c:v>
                </c:pt>
                <c:pt idx="39">
                  <c:v>31.5</c:v>
                </c:pt>
                <c:pt idx="40">
                  <c:v>32.5</c:v>
                </c:pt>
                <c:pt idx="41">
                  <c:v>33.5</c:v>
                </c:pt>
                <c:pt idx="42">
                  <c:v>35.5</c:v>
                </c:pt>
                <c:pt idx="43">
                  <c:v>36.5</c:v>
                </c:pt>
                <c:pt idx="44">
                  <c:v>48.0</c:v>
                </c:pt>
              </c:numCache>
            </c:numRef>
          </c:xVal>
          <c:yVal>
            <c:numRef>
              <c:f>'temp data'!$B$8:$B$52</c:f>
              <c:numCache>
                <c:formatCode>General</c:formatCode>
                <c:ptCount val="45"/>
                <c:pt idx="0">
                  <c:v>27.9</c:v>
                </c:pt>
                <c:pt idx="1">
                  <c:v>28.8</c:v>
                </c:pt>
                <c:pt idx="2">
                  <c:v>29.0</c:v>
                </c:pt>
                <c:pt idx="3">
                  <c:v>29.4</c:v>
                </c:pt>
                <c:pt idx="4">
                  <c:v>30.0</c:v>
                </c:pt>
                <c:pt idx="5">
                  <c:v>30.0</c:v>
                </c:pt>
                <c:pt idx="6">
                  <c:v>29.8</c:v>
                </c:pt>
                <c:pt idx="7">
                  <c:v>29.9</c:v>
                </c:pt>
                <c:pt idx="8">
                  <c:v>30.1</c:v>
                </c:pt>
                <c:pt idx="9">
                  <c:v>30.6</c:v>
                </c:pt>
                <c:pt idx="10">
                  <c:v>30.6</c:v>
                </c:pt>
                <c:pt idx="11">
                  <c:v>30.6</c:v>
                </c:pt>
                <c:pt idx="12">
                  <c:v>30.5</c:v>
                </c:pt>
                <c:pt idx="13">
                  <c:v>30.4</c:v>
                </c:pt>
                <c:pt idx="14">
                  <c:v>30.2</c:v>
                </c:pt>
                <c:pt idx="15">
                  <c:v>30.1</c:v>
                </c:pt>
                <c:pt idx="16">
                  <c:v>30.1</c:v>
                </c:pt>
                <c:pt idx="17">
                  <c:v>30.4</c:v>
                </c:pt>
                <c:pt idx="18">
                  <c:v>30.3</c:v>
                </c:pt>
                <c:pt idx="19">
                  <c:v>29.9</c:v>
                </c:pt>
                <c:pt idx="20">
                  <c:v>29.7</c:v>
                </c:pt>
                <c:pt idx="21">
                  <c:v>30.5</c:v>
                </c:pt>
                <c:pt idx="22">
                  <c:v>29.8</c:v>
                </c:pt>
                <c:pt idx="23">
                  <c:v>29.7</c:v>
                </c:pt>
                <c:pt idx="24">
                  <c:v>30.2</c:v>
                </c:pt>
                <c:pt idx="25">
                  <c:v>30.2</c:v>
                </c:pt>
                <c:pt idx="26">
                  <c:v>29.9</c:v>
                </c:pt>
                <c:pt idx="27">
                  <c:v>29.6</c:v>
                </c:pt>
                <c:pt idx="28">
                  <c:v>30.3</c:v>
                </c:pt>
                <c:pt idx="29">
                  <c:v>30.3</c:v>
                </c:pt>
                <c:pt idx="30">
                  <c:v>30.4</c:v>
                </c:pt>
                <c:pt idx="31">
                  <c:v>30.6</c:v>
                </c:pt>
                <c:pt idx="32">
                  <c:v>29.9</c:v>
                </c:pt>
                <c:pt idx="33">
                  <c:v>29.8</c:v>
                </c:pt>
                <c:pt idx="34">
                  <c:v>29.9</c:v>
                </c:pt>
                <c:pt idx="35">
                  <c:v>29.8</c:v>
                </c:pt>
                <c:pt idx="36">
                  <c:v>30.4</c:v>
                </c:pt>
                <c:pt idx="37">
                  <c:v>30.4</c:v>
                </c:pt>
                <c:pt idx="38">
                  <c:v>30.6</c:v>
                </c:pt>
                <c:pt idx="39">
                  <c:v>30.5</c:v>
                </c:pt>
                <c:pt idx="40">
                  <c:v>30.4</c:v>
                </c:pt>
                <c:pt idx="41">
                  <c:v>30.3</c:v>
                </c:pt>
                <c:pt idx="42">
                  <c:v>30.2</c:v>
                </c:pt>
                <c:pt idx="43">
                  <c:v>30.1</c:v>
                </c:pt>
                <c:pt idx="44">
                  <c:v>30.0</c:v>
                </c:pt>
              </c:numCache>
            </c:numRef>
          </c:yVal>
          <c:smooth val="0"/>
        </c:ser>
        <c:ser>
          <c:idx val="1"/>
          <c:order val="1"/>
          <c:tx>
            <c:v>exp. aquarium 2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'temp data'!$G$8:$G$52</c:f>
              <c:numCache>
                <c:formatCode>General</c:formatCode>
                <c:ptCount val="45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5.0</c:v>
                </c:pt>
                <c:pt idx="9">
                  <c:v>5.5</c:v>
                </c:pt>
                <c:pt idx="10">
                  <c:v>6.0</c:v>
                </c:pt>
                <c:pt idx="11">
                  <c:v>6.5</c:v>
                </c:pt>
                <c:pt idx="12">
                  <c:v>7.0</c:v>
                </c:pt>
                <c:pt idx="13">
                  <c:v>7.5</c:v>
                </c:pt>
                <c:pt idx="14">
                  <c:v>8.0</c:v>
                </c:pt>
                <c:pt idx="15">
                  <c:v>8.5</c:v>
                </c:pt>
                <c:pt idx="16">
                  <c:v>9.0</c:v>
                </c:pt>
                <c:pt idx="17">
                  <c:v>11.0</c:v>
                </c:pt>
                <c:pt idx="18">
                  <c:v>11.5</c:v>
                </c:pt>
                <c:pt idx="19">
                  <c:v>12.0</c:v>
                </c:pt>
                <c:pt idx="20">
                  <c:v>12.5</c:v>
                </c:pt>
                <c:pt idx="21">
                  <c:v>13.0</c:v>
                </c:pt>
                <c:pt idx="22">
                  <c:v>13.5</c:v>
                </c:pt>
                <c:pt idx="23">
                  <c:v>14.0</c:v>
                </c:pt>
                <c:pt idx="24">
                  <c:v>14.5</c:v>
                </c:pt>
                <c:pt idx="25">
                  <c:v>15.0</c:v>
                </c:pt>
                <c:pt idx="26">
                  <c:v>16.0</c:v>
                </c:pt>
                <c:pt idx="27">
                  <c:v>17.5</c:v>
                </c:pt>
                <c:pt idx="28">
                  <c:v>18.0</c:v>
                </c:pt>
                <c:pt idx="29">
                  <c:v>19.0</c:v>
                </c:pt>
                <c:pt idx="30">
                  <c:v>23.0</c:v>
                </c:pt>
                <c:pt idx="31">
                  <c:v>23.5</c:v>
                </c:pt>
                <c:pt idx="32">
                  <c:v>24.0</c:v>
                </c:pt>
                <c:pt idx="33">
                  <c:v>25.5</c:v>
                </c:pt>
                <c:pt idx="34">
                  <c:v>26.5</c:v>
                </c:pt>
                <c:pt idx="35">
                  <c:v>27.5</c:v>
                </c:pt>
                <c:pt idx="36">
                  <c:v>28.5</c:v>
                </c:pt>
                <c:pt idx="37">
                  <c:v>29.5</c:v>
                </c:pt>
                <c:pt idx="38">
                  <c:v>30.5</c:v>
                </c:pt>
                <c:pt idx="39">
                  <c:v>31.5</c:v>
                </c:pt>
                <c:pt idx="40">
                  <c:v>32.5</c:v>
                </c:pt>
                <c:pt idx="41">
                  <c:v>33.5</c:v>
                </c:pt>
                <c:pt idx="42">
                  <c:v>35.5</c:v>
                </c:pt>
                <c:pt idx="43">
                  <c:v>36.5</c:v>
                </c:pt>
                <c:pt idx="44">
                  <c:v>48.0</c:v>
                </c:pt>
              </c:numCache>
            </c:numRef>
          </c:xVal>
          <c:yVal>
            <c:numRef>
              <c:f>'temp data'!$C$8:$C$52</c:f>
              <c:numCache>
                <c:formatCode>General</c:formatCode>
                <c:ptCount val="45"/>
                <c:pt idx="0">
                  <c:v>27.0</c:v>
                </c:pt>
                <c:pt idx="1">
                  <c:v>27.6</c:v>
                </c:pt>
                <c:pt idx="2">
                  <c:v>28.4</c:v>
                </c:pt>
                <c:pt idx="3">
                  <c:v>29.0</c:v>
                </c:pt>
                <c:pt idx="4">
                  <c:v>29.8</c:v>
                </c:pt>
                <c:pt idx="5">
                  <c:v>30.1</c:v>
                </c:pt>
                <c:pt idx="6">
                  <c:v>30.1</c:v>
                </c:pt>
                <c:pt idx="7">
                  <c:v>30.0</c:v>
                </c:pt>
                <c:pt idx="8">
                  <c:v>29.9</c:v>
                </c:pt>
                <c:pt idx="9">
                  <c:v>30.4</c:v>
                </c:pt>
                <c:pt idx="10">
                  <c:v>30.4</c:v>
                </c:pt>
                <c:pt idx="11">
                  <c:v>30.3</c:v>
                </c:pt>
                <c:pt idx="12">
                  <c:v>30.1</c:v>
                </c:pt>
                <c:pt idx="13">
                  <c:v>30.0</c:v>
                </c:pt>
                <c:pt idx="14">
                  <c:v>30.0</c:v>
                </c:pt>
                <c:pt idx="15">
                  <c:v>30.0</c:v>
                </c:pt>
                <c:pt idx="16">
                  <c:v>30.0</c:v>
                </c:pt>
                <c:pt idx="17">
                  <c:v>30.6</c:v>
                </c:pt>
                <c:pt idx="18">
                  <c:v>30.4</c:v>
                </c:pt>
                <c:pt idx="19">
                  <c:v>29.8</c:v>
                </c:pt>
                <c:pt idx="20">
                  <c:v>30.3</c:v>
                </c:pt>
                <c:pt idx="21">
                  <c:v>29.8</c:v>
                </c:pt>
                <c:pt idx="22">
                  <c:v>29.9</c:v>
                </c:pt>
                <c:pt idx="23">
                  <c:v>29.8</c:v>
                </c:pt>
                <c:pt idx="24">
                  <c:v>29.7</c:v>
                </c:pt>
                <c:pt idx="25">
                  <c:v>30.0</c:v>
                </c:pt>
                <c:pt idx="26">
                  <c:v>30.4</c:v>
                </c:pt>
                <c:pt idx="27">
                  <c:v>29.3</c:v>
                </c:pt>
                <c:pt idx="28">
                  <c:v>30.8</c:v>
                </c:pt>
                <c:pt idx="29">
                  <c:v>30.2</c:v>
                </c:pt>
                <c:pt idx="30">
                  <c:v>30.5</c:v>
                </c:pt>
                <c:pt idx="31">
                  <c:v>30.2</c:v>
                </c:pt>
                <c:pt idx="32">
                  <c:v>29.8</c:v>
                </c:pt>
                <c:pt idx="33">
                  <c:v>30.1</c:v>
                </c:pt>
                <c:pt idx="34">
                  <c:v>29.8</c:v>
                </c:pt>
                <c:pt idx="35">
                  <c:v>30.0</c:v>
                </c:pt>
                <c:pt idx="36">
                  <c:v>29.6</c:v>
                </c:pt>
                <c:pt idx="37">
                  <c:v>30.2</c:v>
                </c:pt>
                <c:pt idx="38">
                  <c:v>30.4</c:v>
                </c:pt>
                <c:pt idx="39">
                  <c:v>30.3</c:v>
                </c:pt>
                <c:pt idx="40">
                  <c:v>30.2</c:v>
                </c:pt>
                <c:pt idx="41">
                  <c:v>30.1</c:v>
                </c:pt>
                <c:pt idx="42">
                  <c:v>30.0</c:v>
                </c:pt>
                <c:pt idx="43">
                  <c:v>30.0</c:v>
                </c:pt>
                <c:pt idx="44">
                  <c:v>29.5</c:v>
                </c:pt>
              </c:numCache>
            </c:numRef>
          </c:yVal>
          <c:smooth val="0"/>
        </c:ser>
        <c:ser>
          <c:idx val="2"/>
          <c:order val="2"/>
          <c:tx>
            <c:v>exp. aquarium 3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'temp data'!$G$8:$G$52</c:f>
              <c:numCache>
                <c:formatCode>General</c:formatCode>
                <c:ptCount val="45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5.0</c:v>
                </c:pt>
                <c:pt idx="9">
                  <c:v>5.5</c:v>
                </c:pt>
                <c:pt idx="10">
                  <c:v>6.0</c:v>
                </c:pt>
                <c:pt idx="11">
                  <c:v>6.5</c:v>
                </c:pt>
                <c:pt idx="12">
                  <c:v>7.0</c:v>
                </c:pt>
                <c:pt idx="13">
                  <c:v>7.5</c:v>
                </c:pt>
                <c:pt idx="14">
                  <c:v>8.0</c:v>
                </c:pt>
                <c:pt idx="15">
                  <c:v>8.5</c:v>
                </c:pt>
                <c:pt idx="16">
                  <c:v>9.0</c:v>
                </c:pt>
                <c:pt idx="17">
                  <c:v>11.0</c:v>
                </c:pt>
                <c:pt idx="18">
                  <c:v>11.5</c:v>
                </c:pt>
                <c:pt idx="19">
                  <c:v>12.0</c:v>
                </c:pt>
                <c:pt idx="20">
                  <c:v>12.5</c:v>
                </c:pt>
                <c:pt idx="21">
                  <c:v>13.0</c:v>
                </c:pt>
                <c:pt idx="22">
                  <c:v>13.5</c:v>
                </c:pt>
                <c:pt idx="23">
                  <c:v>14.0</c:v>
                </c:pt>
                <c:pt idx="24">
                  <c:v>14.5</c:v>
                </c:pt>
                <c:pt idx="25">
                  <c:v>15.0</c:v>
                </c:pt>
                <c:pt idx="26">
                  <c:v>16.0</c:v>
                </c:pt>
                <c:pt idx="27">
                  <c:v>17.5</c:v>
                </c:pt>
                <c:pt idx="28">
                  <c:v>18.0</c:v>
                </c:pt>
                <c:pt idx="29">
                  <c:v>19.0</c:v>
                </c:pt>
                <c:pt idx="30">
                  <c:v>23.0</c:v>
                </c:pt>
                <c:pt idx="31">
                  <c:v>23.5</c:v>
                </c:pt>
                <c:pt idx="32">
                  <c:v>24.0</c:v>
                </c:pt>
                <c:pt idx="33">
                  <c:v>25.5</c:v>
                </c:pt>
                <c:pt idx="34">
                  <c:v>26.5</c:v>
                </c:pt>
                <c:pt idx="35">
                  <c:v>27.5</c:v>
                </c:pt>
                <c:pt idx="36">
                  <c:v>28.5</c:v>
                </c:pt>
                <c:pt idx="37">
                  <c:v>29.5</c:v>
                </c:pt>
                <c:pt idx="38">
                  <c:v>30.5</c:v>
                </c:pt>
                <c:pt idx="39">
                  <c:v>31.5</c:v>
                </c:pt>
                <c:pt idx="40">
                  <c:v>32.5</c:v>
                </c:pt>
                <c:pt idx="41">
                  <c:v>33.5</c:v>
                </c:pt>
                <c:pt idx="42">
                  <c:v>35.5</c:v>
                </c:pt>
                <c:pt idx="43">
                  <c:v>36.5</c:v>
                </c:pt>
                <c:pt idx="44">
                  <c:v>48.0</c:v>
                </c:pt>
              </c:numCache>
            </c:numRef>
          </c:xVal>
          <c:yVal>
            <c:numRef>
              <c:f>'temp data'!$D$8:$D$52</c:f>
              <c:numCache>
                <c:formatCode>General</c:formatCode>
                <c:ptCount val="45"/>
                <c:pt idx="0">
                  <c:v>27.3</c:v>
                </c:pt>
                <c:pt idx="1">
                  <c:v>28.1</c:v>
                </c:pt>
                <c:pt idx="2">
                  <c:v>28.4</c:v>
                </c:pt>
                <c:pt idx="3">
                  <c:v>28.6</c:v>
                </c:pt>
                <c:pt idx="4">
                  <c:v>29.0</c:v>
                </c:pt>
                <c:pt idx="5">
                  <c:v>29.8</c:v>
                </c:pt>
                <c:pt idx="6">
                  <c:v>30.3</c:v>
                </c:pt>
                <c:pt idx="7">
                  <c:v>30.0</c:v>
                </c:pt>
                <c:pt idx="8">
                  <c:v>29.6</c:v>
                </c:pt>
                <c:pt idx="9">
                  <c:v>30.4</c:v>
                </c:pt>
                <c:pt idx="10">
                  <c:v>30.4</c:v>
                </c:pt>
                <c:pt idx="11">
                  <c:v>30.4</c:v>
                </c:pt>
                <c:pt idx="12">
                  <c:v>30.1</c:v>
                </c:pt>
                <c:pt idx="13">
                  <c:v>30.1</c:v>
                </c:pt>
                <c:pt idx="14">
                  <c:v>30.3</c:v>
                </c:pt>
                <c:pt idx="15">
                  <c:v>30.2</c:v>
                </c:pt>
                <c:pt idx="16">
                  <c:v>30.6</c:v>
                </c:pt>
                <c:pt idx="17">
                  <c:v>30.5</c:v>
                </c:pt>
                <c:pt idx="18">
                  <c:v>30.3</c:v>
                </c:pt>
                <c:pt idx="19">
                  <c:v>30.1</c:v>
                </c:pt>
                <c:pt idx="20">
                  <c:v>30.3</c:v>
                </c:pt>
                <c:pt idx="21">
                  <c:v>30.1</c:v>
                </c:pt>
                <c:pt idx="22">
                  <c:v>29.9</c:v>
                </c:pt>
                <c:pt idx="23">
                  <c:v>30.1</c:v>
                </c:pt>
                <c:pt idx="24">
                  <c:v>30.4</c:v>
                </c:pt>
                <c:pt idx="25">
                  <c:v>30.2</c:v>
                </c:pt>
                <c:pt idx="26">
                  <c:v>29.6</c:v>
                </c:pt>
                <c:pt idx="27">
                  <c:v>30.2</c:v>
                </c:pt>
                <c:pt idx="28">
                  <c:v>30.6</c:v>
                </c:pt>
                <c:pt idx="29">
                  <c:v>30.6</c:v>
                </c:pt>
                <c:pt idx="30">
                  <c:v>30.2</c:v>
                </c:pt>
                <c:pt idx="31">
                  <c:v>30.6</c:v>
                </c:pt>
                <c:pt idx="32">
                  <c:v>29.8</c:v>
                </c:pt>
                <c:pt idx="33">
                  <c:v>30.3</c:v>
                </c:pt>
                <c:pt idx="34">
                  <c:v>30.2</c:v>
                </c:pt>
                <c:pt idx="35">
                  <c:v>30.1</c:v>
                </c:pt>
                <c:pt idx="36">
                  <c:v>29.6</c:v>
                </c:pt>
                <c:pt idx="37">
                  <c:v>29.7</c:v>
                </c:pt>
                <c:pt idx="38">
                  <c:v>30.6</c:v>
                </c:pt>
                <c:pt idx="39">
                  <c:v>30.5</c:v>
                </c:pt>
                <c:pt idx="40">
                  <c:v>30.4</c:v>
                </c:pt>
                <c:pt idx="41">
                  <c:v>30.3</c:v>
                </c:pt>
                <c:pt idx="42">
                  <c:v>30.2</c:v>
                </c:pt>
                <c:pt idx="43">
                  <c:v>30.2</c:v>
                </c:pt>
                <c:pt idx="44">
                  <c:v>29.4</c:v>
                </c:pt>
              </c:numCache>
            </c:numRef>
          </c:yVal>
          <c:smooth val="0"/>
        </c:ser>
        <c:ser>
          <c:idx val="3"/>
          <c:order val="3"/>
          <c:tx>
            <c:v>control aquaria (avg.)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0.314</c:v>
                </c:pt>
              </c:numLit>
            </c:plus>
            <c:minus>
              <c:numLit>
                <c:formatCode>General</c:formatCode>
                <c:ptCount val="1"/>
                <c:pt idx="0">
                  <c:v>0.314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'temp data'!$G$8:$G$52</c:f>
              <c:numCache>
                <c:formatCode>General</c:formatCode>
                <c:ptCount val="45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5.0</c:v>
                </c:pt>
                <c:pt idx="9">
                  <c:v>5.5</c:v>
                </c:pt>
                <c:pt idx="10">
                  <c:v>6.0</c:v>
                </c:pt>
                <c:pt idx="11">
                  <c:v>6.5</c:v>
                </c:pt>
                <c:pt idx="12">
                  <c:v>7.0</c:v>
                </c:pt>
                <c:pt idx="13">
                  <c:v>7.5</c:v>
                </c:pt>
                <c:pt idx="14">
                  <c:v>8.0</c:v>
                </c:pt>
                <c:pt idx="15">
                  <c:v>8.5</c:v>
                </c:pt>
                <c:pt idx="16">
                  <c:v>9.0</c:v>
                </c:pt>
                <c:pt idx="17">
                  <c:v>11.0</c:v>
                </c:pt>
                <c:pt idx="18">
                  <c:v>11.5</c:v>
                </c:pt>
                <c:pt idx="19">
                  <c:v>12.0</c:v>
                </c:pt>
                <c:pt idx="20">
                  <c:v>12.5</c:v>
                </c:pt>
                <c:pt idx="21">
                  <c:v>13.0</c:v>
                </c:pt>
                <c:pt idx="22">
                  <c:v>13.5</c:v>
                </c:pt>
                <c:pt idx="23">
                  <c:v>14.0</c:v>
                </c:pt>
                <c:pt idx="24">
                  <c:v>14.5</c:v>
                </c:pt>
                <c:pt idx="25">
                  <c:v>15.0</c:v>
                </c:pt>
                <c:pt idx="26">
                  <c:v>16.0</c:v>
                </c:pt>
                <c:pt idx="27">
                  <c:v>17.5</c:v>
                </c:pt>
                <c:pt idx="28">
                  <c:v>18.0</c:v>
                </c:pt>
                <c:pt idx="29">
                  <c:v>19.0</c:v>
                </c:pt>
                <c:pt idx="30">
                  <c:v>23.0</c:v>
                </c:pt>
                <c:pt idx="31">
                  <c:v>23.5</c:v>
                </c:pt>
                <c:pt idx="32">
                  <c:v>24.0</c:v>
                </c:pt>
                <c:pt idx="33">
                  <c:v>25.5</c:v>
                </c:pt>
                <c:pt idx="34">
                  <c:v>26.5</c:v>
                </c:pt>
                <c:pt idx="35">
                  <c:v>27.5</c:v>
                </c:pt>
                <c:pt idx="36">
                  <c:v>28.5</c:v>
                </c:pt>
                <c:pt idx="37">
                  <c:v>29.5</c:v>
                </c:pt>
                <c:pt idx="38">
                  <c:v>30.5</c:v>
                </c:pt>
                <c:pt idx="39">
                  <c:v>31.5</c:v>
                </c:pt>
                <c:pt idx="40">
                  <c:v>32.5</c:v>
                </c:pt>
                <c:pt idx="41">
                  <c:v>33.5</c:v>
                </c:pt>
                <c:pt idx="42">
                  <c:v>35.5</c:v>
                </c:pt>
                <c:pt idx="43">
                  <c:v>36.5</c:v>
                </c:pt>
                <c:pt idx="44">
                  <c:v>48.0</c:v>
                </c:pt>
              </c:numCache>
            </c:numRef>
          </c:xVal>
          <c:yVal>
            <c:numRef>
              <c:f>'temp data'!$E$8:$E$52</c:f>
              <c:numCache>
                <c:formatCode>General</c:formatCode>
                <c:ptCount val="45"/>
                <c:pt idx="0">
                  <c:v>27.0</c:v>
                </c:pt>
                <c:pt idx="1">
                  <c:v>27.0</c:v>
                </c:pt>
                <c:pt idx="2">
                  <c:v>27.0</c:v>
                </c:pt>
                <c:pt idx="3">
                  <c:v>27.0</c:v>
                </c:pt>
                <c:pt idx="4">
                  <c:v>27.0</c:v>
                </c:pt>
                <c:pt idx="5">
                  <c:v>27.0</c:v>
                </c:pt>
                <c:pt idx="6">
                  <c:v>27.0</c:v>
                </c:pt>
                <c:pt idx="7">
                  <c:v>27.0</c:v>
                </c:pt>
                <c:pt idx="8">
                  <c:v>27.0</c:v>
                </c:pt>
                <c:pt idx="9">
                  <c:v>27.4</c:v>
                </c:pt>
                <c:pt idx="10">
                  <c:v>27.6</c:v>
                </c:pt>
                <c:pt idx="11">
                  <c:v>27.6</c:v>
                </c:pt>
                <c:pt idx="12">
                  <c:v>27.6</c:v>
                </c:pt>
                <c:pt idx="13">
                  <c:v>27.6</c:v>
                </c:pt>
                <c:pt idx="14">
                  <c:v>27.7</c:v>
                </c:pt>
                <c:pt idx="15">
                  <c:v>27.7</c:v>
                </c:pt>
                <c:pt idx="16">
                  <c:v>27.7</c:v>
                </c:pt>
                <c:pt idx="17">
                  <c:v>27.7</c:v>
                </c:pt>
                <c:pt idx="18">
                  <c:v>27.7</c:v>
                </c:pt>
                <c:pt idx="19">
                  <c:v>26.9</c:v>
                </c:pt>
                <c:pt idx="20">
                  <c:v>26.9</c:v>
                </c:pt>
                <c:pt idx="21">
                  <c:v>26.9</c:v>
                </c:pt>
                <c:pt idx="22">
                  <c:v>26.9</c:v>
                </c:pt>
                <c:pt idx="23">
                  <c:v>26.9</c:v>
                </c:pt>
                <c:pt idx="24">
                  <c:v>26.9</c:v>
                </c:pt>
                <c:pt idx="25">
                  <c:v>26.9</c:v>
                </c:pt>
                <c:pt idx="26">
                  <c:v>26.9</c:v>
                </c:pt>
                <c:pt idx="27">
                  <c:v>26.8</c:v>
                </c:pt>
                <c:pt idx="28">
                  <c:v>27.6</c:v>
                </c:pt>
                <c:pt idx="29">
                  <c:v>27.6</c:v>
                </c:pt>
                <c:pt idx="30">
                  <c:v>27.4</c:v>
                </c:pt>
                <c:pt idx="31">
                  <c:v>27.3</c:v>
                </c:pt>
                <c:pt idx="32">
                  <c:v>26.9</c:v>
                </c:pt>
                <c:pt idx="33">
                  <c:v>27.0</c:v>
                </c:pt>
                <c:pt idx="34">
                  <c:v>27.1</c:v>
                </c:pt>
                <c:pt idx="35">
                  <c:v>27.1</c:v>
                </c:pt>
                <c:pt idx="36">
                  <c:v>27.3</c:v>
                </c:pt>
                <c:pt idx="37">
                  <c:v>27.2</c:v>
                </c:pt>
                <c:pt idx="38">
                  <c:v>27.6</c:v>
                </c:pt>
                <c:pt idx="39">
                  <c:v>27.7</c:v>
                </c:pt>
                <c:pt idx="40">
                  <c:v>27.6</c:v>
                </c:pt>
                <c:pt idx="41">
                  <c:v>27.5</c:v>
                </c:pt>
                <c:pt idx="42">
                  <c:v>27.4</c:v>
                </c:pt>
                <c:pt idx="43">
                  <c:v>27.3</c:v>
                </c:pt>
                <c:pt idx="44">
                  <c:v>27.1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1504920"/>
        <c:axId val="2071508392"/>
      </c:scatterChart>
      <c:valAx>
        <c:axId val="2071504920"/>
        <c:scaling>
          <c:orientation val="minMax"/>
          <c:max val="54.0"/>
          <c:min val="0.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71508392"/>
        <c:crosses val="autoZero"/>
        <c:crossBetween val="midCat"/>
        <c:majorUnit val="6.0"/>
      </c:valAx>
      <c:valAx>
        <c:axId val="2071508392"/>
        <c:scaling>
          <c:orientation val="minMax"/>
          <c:min val="26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71504920"/>
        <c:crosses val="autoZero"/>
        <c:crossBetween val="midCat"/>
        <c:majorUnit val="2.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310226846644"/>
          <c:y val="0.331396035524629"/>
          <c:w val="0.279762139107612"/>
          <c:h val="0.2587213880241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8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81706036745407"/>
          <c:y val="0.0787037037037037"/>
          <c:w val="0.860162729658793"/>
          <c:h val="0.807222222222222"/>
        </c:manualLayout>
      </c:layout>
      <c:lineChart>
        <c:grouping val="standard"/>
        <c:varyColors val="0"/>
        <c:ser>
          <c:idx val="0"/>
          <c:order val="0"/>
          <c:tx>
            <c:v>control</c:v>
          </c:tx>
          <c:spPr>
            <a:ln>
              <a:noFill/>
            </a:ln>
            <a:effectLst/>
          </c:spPr>
          <c:marker>
            <c:symbol val="square"/>
            <c:size val="9"/>
            <c:spPr>
              <a:noFill/>
              <a:ln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qPCRs'!$BJ$40:$BJ$43</c:f>
                <c:numCache>
                  <c:formatCode>General</c:formatCode>
                  <c:ptCount val="4"/>
                  <c:pt idx="0">
                    <c:v>12.01683971907923</c:v>
                  </c:pt>
                  <c:pt idx="1">
                    <c:v>33.56063365671287</c:v>
                  </c:pt>
                  <c:pt idx="2">
                    <c:v>46.90456027675592</c:v>
                  </c:pt>
                  <c:pt idx="3">
                    <c:v>17.48969358541935</c:v>
                  </c:pt>
                </c:numCache>
              </c:numRef>
            </c:plus>
            <c:minus>
              <c:numRef>
                <c:f>'2012 qPCRs'!$BJ$40:$BJ$43</c:f>
                <c:numCache>
                  <c:formatCode>General</c:formatCode>
                  <c:ptCount val="4"/>
                  <c:pt idx="0">
                    <c:v>12.01683971907923</c:v>
                  </c:pt>
                  <c:pt idx="1">
                    <c:v>33.56063365671287</c:v>
                  </c:pt>
                  <c:pt idx="2">
                    <c:v>46.90456027675592</c:v>
                  </c:pt>
                  <c:pt idx="3">
                    <c:v>17.48969358541935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cat>
            <c:numRef>
              <c:f>'2012 qPCRs'!$BG$40:$BG$43</c:f>
              <c:numCache>
                <c:formatCode>General</c:formatCode>
                <c:ptCount val="4"/>
                <c:pt idx="0">
                  <c:v>6.0</c:v>
                </c:pt>
                <c:pt idx="1">
                  <c:v>12.0</c:v>
                </c:pt>
                <c:pt idx="2">
                  <c:v>24.0</c:v>
                </c:pt>
                <c:pt idx="3">
                  <c:v>48.0</c:v>
                </c:pt>
              </c:numCache>
            </c:numRef>
          </c:cat>
          <c:val>
            <c:numRef>
              <c:f>'2012 qPCRs'!$BH$40:$BH$43</c:f>
              <c:numCache>
                <c:formatCode>General</c:formatCode>
                <c:ptCount val="4"/>
                <c:pt idx="0">
                  <c:v>125.346970815972</c:v>
                </c:pt>
                <c:pt idx="1">
                  <c:v>149.5964993720857</c:v>
                </c:pt>
                <c:pt idx="2">
                  <c:v>79.22789175367697</c:v>
                </c:pt>
                <c:pt idx="3">
                  <c:v>127.5307817216047</c:v>
                </c:pt>
              </c:numCache>
            </c:numRef>
          </c:val>
          <c:smooth val="0"/>
        </c:ser>
        <c:ser>
          <c:idx val="1"/>
          <c:order val="1"/>
          <c:spPr>
            <a:ln>
              <a:noFill/>
            </a:ln>
            <a:effectLst/>
          </c:spPr>
          <c:marker>
            <c:symbol val="diamond"/>
            <c:size val="9"/>
            <c:spPr>
              <a:solidFill>
                <a:schemeClr val="tx1"/>
              </a:solidFill>
              <a:ln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qPCRs'!$BM$40:$BM$43</c:f>
                <c:numCache>
                  <c:formatCode>General</c:formatCode>
                  <c:ptCount val="4"/>
                  <c:pt idx="0">
                    <c:v>42.44486464490829</c:v>
                  </c:pt>
                  <c:pt idx="1">
                    <c:v>54.04108574179087</c:v>
                  </c:pt>
                  <c:pt idx="2">
                    <c:v>23.8403304357169</c:v>
                  </c:pt>
                  <c:pt idx="3">
                    <c:v>19.4245714010871</c:v>
                  </c:pt>
                </c:numCache>
              </c:numRef>
            </c:plus>
            <c:minus>
              <c:numRef>
                <c:f>'2012 qPCRs'!$BM$40:$BM$43</c:f>
                <c:numCache>
                  <c:formatCode>General</c:formatCode>
                  <c:ptCount val="4"/>
                  <c:pt idx="0">
                    <c:v>42.44486464490829</c:v>
                  </c:pt>
                  <c:pt idx="1">
                    <c:v>54.04108574179087</c:v>
                  </c:pt>
                  <c:pt idx="2">
                    <c:v>23.8403304357169</c:v>
                  </c:pt>
                  <c:pt idx="3">
                    <c:v>19.4245714010871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val>
            <c:numRef>
              <c:f>'2012 qPCRs'!$BK$40:$BK$43</c:f>
              <c:numCache>
                <c:formatCode>General</c:formatCode>
                <c:ptCount val="4"/>
                <c:pt idx="0">
                  <c:v>105.2869186951114</c:v>
                </c:pt>
                <c:pt idx="1">
                  <c:v>112.7817068745461</c:v>
                </c:pt>
                <c:pt idx="2">
                  <c:v>102.9177705224885</c:v>
                </c:pt>
                <c:pt idx="3">
                  <c:v>78.70024163142711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158360"/>
        <c:axId val="2077161672"/>
      </c:lineChart>
      <c:catAx>
        <c:axId val="207715836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2700">
            <a:solidFill>
              <a:schemeClr val="tx1"/>
            </a:solidFill>
          </a:ln>
        </c:spPr>
        <c:crossAx val="2077161672"/>
        <c:crosses val="autoZero"/>
        <c:auto val="1"/>
        <c:lblAlgn val="ctr"/>
        <c:lblOffset val="100"/>
        <c:noMultiLvlLbl val="0"/>
      </c:catAx>
      <c:valAx>
        <c:axId val="2077161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077158360"/>
        <c:crosses val="autoZero"/>
        <c:crossBetween val="between"/>
        <c:majorUnit val="50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12700">
      <a:noFill/>
    </a:ln>
    <a:effectLst/>
  </c:spPr>
  <c:txPr>
    <a:bodyPr/>
    <a:lstStyle/>
    <a:p>
      <a:pPr>
        <a:defRPr sz="12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control</c:v>
          </c:tx>
          <c:spPr>
            <a:ln>
              <a:noFill/>
            </a:ln>
            <a:effectLst/>
          </c:spPr>
          <c:marker>
            <c:symbol val="square"/>
            <c:size val="9"/>
            <c:spPr>
              <a:noFill/>
              <a:ln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qPCRs'!$CD$40:$CD$43</c:f>
                <c:numCache>
                  <c:formatCode>General</c:formatCode>
                  <c:ptCount val="4"/>
                  <c:pt idx="0">
                    <c:v>0.0278220365571695</c:v>
                  </c:pt>
                  <c:pt idx="1">
                    <c:v>0.0713588475454995</c:v>
                  </c:pt>
                  <c:pt idx="2">
                    <c:v>0.066462889815437</c:v>
                  </c:pt>
                  <c:pt idx="3">
                    <c:v>0.0496091957743597</c:v>
                  </c:pt>
                </c:numCache>
              </c:numRef>
            </c:plus>
            <c:minus>
              <c:numRef>
                <c:f>'2012 qPCRs'!$CD$40:$CD$43</c:f>
                <c:numCache>
                  <c:formatCode>General</c:formatCode>
                  <c:ptCount val="4"/>
                  <c:pt idx="0">
                    <c:v>0.0278220365571695</c:v>
                  </c:pt>
                  <c:pt idx="1">
                    <c:v>0.0713588475454995</c:v>
                  </c:pt>
                  <c:pt idx="2">
                    <c:v>0.066462889815437</c:v>
                  </c:pt>
                  <c:pt idx="3">
                    <c:v>0.0496091957743597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cat>
            <c:numRef>
              <c:f>'2012 qPCRs'!$CA$40:$CA$43</c:f>
              <c:numCache>
                <c:formatCode>General</c:formatCode>
                <c:ptCount val="4"/>
                <c:pt idx="0">
                  <c:v>6.0</c:v>
                </c:pt>
                <c:pt idx="1">
                  <c:v>12.0</c:v>
                </c:pt>
                <c:pt idx="2">
                  <c:v>24.0</c:v>
                </c:pt>
                <c:pt idx="3">
                  <c:v>48.0</c:v>
                </c:pt>
              </c:numCache>
            </c:numRef>
          </c:cat>
          <c:val>
            <c:numRef>
              <c:f>'2012 qPCRs'!$CB$40:$CB$43</c:f>
              <c:numCache>
                <c:formatCode>General</c:formatCode>
                <c:ptCount val="4"/>
                <c:pt idx="0">
                  <c:v>0.205673050875807</c:v>
                </c:pt>
                <c:pt idx="1">
                  <c:v>0.32458382275314</c:v>
                </c:pt>
                <c:pt idx="2">
                  <c:v>0.148704540307622</c:v>
                </c:pt>
                <c:pt idx="3">
                  <c:v>0.288273256166322</c:v>
                </c:pt>
              </c:numCache>
            </c:numRef>
          </c:val>
          <c:smooth val="0"/>
        </c:ser>
        <c:ser>
          <c:idx val="1"/>
          <c:order val="1"/>
          <c:spPr>
            <a:ln>
              <a:noFill/>
            </a:ln>
            <a:effectLst/>
          </c:spPr>
          <c:marker>
            <c:symbol val="diamond"/>
            <c:size val="9"/>
            <c:spPr>
              <a:solidFill>
                <a:schemeClr val="tx1"/>
              </a:solidFill>
              <a:ln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qPCRs'!$CG$40:$CG$43</c:f>
                <c:numCache>
                  <c:formatCode>General</c:formatCode>
                  <c:ptCount val="4"/>
                  <c:pt idx="0">
                    <c:v>0.0204332824067834</c:v>
                  </c:pt>
                  <c:pt idx="1">
                    <c:v>0.106181636532531</c:v>
                  </c:pt>
                  <c:pt idx="2">
                    <c:v>0.0609726387710293</c:v>
                  </c:pt>
                  <c:pt idx="3">
                    <c:v>0.0399551076152207</c:v>
                  </c:pt>
                </c:numCache>
              </c:numRef>
            </c:plus>
            <c:minus>
              <c:numRef>
                <c:f>'2012 qPCRs'!$CG$40:$CG$43</c:f>
                <c:numCache>
                  <c:formatCode>General</c:formatCode>
                  <c:ptCount val="4"/>
                  <c:pt idx="0">
                    <c:v>0.0204332824067834</c:v>
                  </c:pt>
                  <c:pt idx="1">
                    <c:v>0.106181636532531</c:v>
                  </c:pt>
                  <c:pt idx="2">
                    <c:v>0.0609726387710293</c:v>
                  </c:pt>
                  <c:pt idx="3">
                    <c:v>0.0399551076152207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val>
            <c:numRef>
              <c:f>'2012 qPCRs'!$CE$40:$CE$43</c:f>
              <c:numCache>
                <c:formatCode>General</c:formatCode>
                <c:ptCount val="4"/>
                <c:pt idx="0">
                  <c:v>0.219539435953015</c:v>
                </c:pt>
                <c:pt idx="1">
                  <c:v>0.267686175951981</c:v>
                </c:pt>
                <c:pt idx="2">
                  <c:v>0.279589710226243</c:v>
                </c:pt>
                <c:pt idx="3">
                  <c:v>0.147627070890206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196936"/>
        <c:axId val="2077200248"/>
      </c:lineChart>
      <c:catAx>
        <c:axId val="207719693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2700">
            <a:solidFill>
              <a:schemeClr val="tx1"/>
            </a:solidFill>
          </a:ln>
        </c:spPr>
        <c:crossAx val="2077200248"/>
        <c:crosses val="autoZero"/>
        <c:auto val="1"/>
        <c:lblAlgn val="ctr"/>
        <c:lblOffset val="100"/>
        <c:noMultiLvlLbl val="0"/>
      </c:catAx>
      <c:valAx>
        <c:axId val="2077200248"/>
        <c:scaling>
          <c:orientation val="minMax"/>
          <c:max val="0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077196936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 sz="12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control</c:v>
          </c:tx>
          <c:spPr>
            <a:ln>
              <a:noFill/>
            </a:ln>
            <a:effectLst/>
          </c:spPr>
          <c:marker>
            <c:symbol val="square"/>
            <c:size val="10"/>
            <c:spPr>
              <a:noFill/>
              <a:ln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qPCRs'!$CN$34:$CN$37</c:f>
                <c:numCache>
                  <c:formatCode>General</c:formatCode>
                  <c:ptCount val="4"/>
                  <c:pt idx="0">
                    <c:v>31.90525913054669</c:v>
                  </c:pt>
                  <c:pt idx="1">
                    <c:v>32.80497877815905</c:v>
                  </c:pt>
                  <c:pt idx="2">
                    <c:v>14.51791314726137</c:v>
                  </c:pt>
                  <c:pt idx="3">
                    <c:v>44.44594467893237</c:v>
                  </c:pt>
                </c:numCache>
              </c:numRef>
            </c:plus>
            <c:minus>
              <c:numRef>
                <c:f>'2012 qPCRs'!$CN$34:$CN$37</c:f>
                <c:numCache>
                  <c:formatCode>General</c:formatCode>
                  <c:ptCount val="4"/>
                  <c:pt idx="0">
                    <c:v>31.90525913054669</c:v>
                  </c:pt>
                  <c:pt idx="1">
                    <c:v>32.80497877815905</c:v>
                  </c:pt>
                  <c:pt idx="2">
                    <c:v>14.51791314726137</c:v>
                  </c:pt>
                  <c:pt idx="3">
                    <c:v>44.44594467893237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cat>
            <c:numRef>
              <c:f>'2012 qPCRs'!$CK$34:$CK$37</c:f>
              <c:numCache>
                <c:formatCode>General</c:formatCode>
                <c:ptCount val="4"/>
                <c:pt idx="0">
                  <c:v>6.0</c:v>
                </c:pt>
                <c:pt idx="1">
                  <c:v>12.0</c:v>
                </c:pt>
                <c:pt idx="2">
                  <c:v>24.0</c:v>
                </c:pt>
                <c:pt idx="3">
                  <c:v>48.0</c:v>
                </c:pt>
              </c:numCache>
            </c:numRef>
          </c:cat>
          <c:val>
            <c:numRef>
              <c:f>'2012 qPCRs'!$CL$34:$CL$37</c:f>
              <c:numCache>
                <c:formatCode>General</c:formatCode>
                <c:ptCount val="4"/>
                <c:pt idx="0">
                  <c:v>74.81303595095989</c:v>
                </c:pt>
                <c:pt idx="1">
                  <c:v>162.7839512012218</c:v>
                </c:pt>
                <c:pt idx="2">
                  <c:v>61.23280520475015</c:v>
                </c:pt>
                <c:pt idx="3">
                  <c:v>198.3631410254261</c:v>
                </c:pt>
              </c:numCache>
            </c:numRef>
          </c:val>
          <c:smooth val="0"/>
        </c:ser>
        <c:ser>
          <c:idx val="1"/>
          <c:order val="1"/>
          <c:spPr>
            <a:ln>
              <a:noFill/>
            </a:ln>
            <a:effectLst/>
          </c:spPr>
          <c:marker>
            <c:symbol val="diamond"/>
            <c:size val="10"/>
            <c:spPr>
              <a:solidFill>
                <a:schemeClr val="tx1"/>
              </a:solidFill>
              <a:ln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qPCRs'!$CQ$34:$CQ$37</c:f>
                <c:numCache>
                  <c:formatCode>General</c:formatCode>
                  <c:ptCount val="4"/>
                  <c:pt idx="0">
                    <c:v>22.89029670495723</c:v>
                  </c:pt>
                  <c:pt idx="1">
                    <c:v>8.204036774736181</c:v>
                  </c:pt>
                  <c:pt idx="2">
                    <c:v>2.871355683270946</c:v>
                  </c:pt>
                  <c:pt idx="3">
                    <c:v>12.15373035003556</c:v>
                  </c:pt>
                </c:numCache>
              </c:numRef>
            </c:plus>
            <c:minus>
              <c:numRef>
                <c:f>'2012 qPCRs'!$CQ$34:$CQ$37</c:f>
                <c:numCache>
                  <c:formatCode>General</c:formatCode>
                  <c:ptCount val="4"/>
                  <c:pt idx="0">
                    <c:v>22.89029670495723</c:v>
                  </c:pt>
                  <c:pt idx="1">
                    <c:v>8.204036774736181</c:v>
                  </c:pt>
                  <c:pt idx="2">
                    <c:v>2.871355683270946</c:v>
                  </c:pt>
                  <c:pt idx="3">
                    <c:v>12.15373035003556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val>
            <c:numRef>
              <c:f>'2012 qPCRs'!$CO$34:$CO$37</c:f>
              <c:numCache>
                <c:formatCode>General</c:formatCode>
                <c:ptCount val="4"/>
                <c:pt idx="0">
                  <c:v>116.9658667340309</c:v>
                </c:pt>
                <c:pt idx="1">
                  <c:v>92.23075829287505</c:v>
                </c:pt>
                <c:pt idx="2">
                  <c:v>124.6782654672964</c:v>
                </c:pt>
                <c:pt idx="3">
                  <c:v>71.07939132683693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258520"/>
        <c:axId val="2076255192"/>
      </c:lineChart>
      <c:catAx>
        <c:axId val="207625852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2700">
            <a:solidFill>
              <a:schemeClr val="tx1"/>
            </a:solidFill>
          </a:ln>
        </c:spPr>
        <c:crossAx val="2076255192"/>
        <c:crosses val="autoZero"/>
        <c:auto val="1"/>
        <c:lblAlgn val="ctr"/>
        <c:lblOffset val="100"/>
        <c:noMultiLvlLbl val="0"/>
      </c:catAx>
      <c:valAx>
        <c:axId val="2076255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076258520"/>
        <c:crosses val="autoZero"/>
        <c:crossBetween val="between"/>
        <c:majorUnit val="100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control</c:v>
          </c:tx>
          <c:spPr>
            <a:ln>
              <a:noFill/>
            </a:ln>
            <a:effectLst/>
          </c:spPr>
          <c:marker>
            <c:symbol val="square"/>
            <c:size val="10"/>
            <c:spPr>
              <a:noFill/>
              <a:ln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qPCRs'!$AI$42:$AI$45</c:f>
                <c:numCache>
                  <c:formatCode>General</c:formatCode>
                  <c:ptCount val="4"/>
                  <c:pt idx="0">
                    <c:v>0.125401457657579</c:v>
                  </c:pt>
                  <c:pt idx="1">
                    <c:v>0.0336071747664439</c:v>
                  </c:pt>
                  <c:pt idx="2">
                    <c:v>0.0</c:v>
                  </c:pt>
                  <c:pt idx="3">
                    <c:v>0.0243968479133626</c:v>
                  </c:pt>
                </c:numCache>
              </c:numRef>
            </c:plus>
            <c:minus>
              <c:numRef>
                <c:f>'2012 qPCRs'!$AI$42:$AI$45</c:f>
                <c:numCache>
                  <c:formatCode>General</c:formatCode>
                  <c:ptCount val="4"/>
                  <c:pt idx="0">
                    <c:v>0.125401457657579</c:v>
                  </c:pt>
                  <c:pt idx="1">
                    <c:v>0.0336071747664439</c:v>
                  </c:pt>
                  <c:pt idx="2">
                    <c:v>0.0</c:v>
                  </c:pt>
                  <c:pt idx="3">
                    <c:v>0.0243968479133626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cat>
            <c:numRef>
              <c:f>'2012 qPCRs'!$AF$42:$AF$45</c:f>
              <c:numCache>
                <c:formatCode>General</c:formatCode>
                <c:ptCount val="4"/>
                <c:pt idx="0">
                  <c:v>6.0</c:v>
                </c:pt>
                <c:pt idx="1">
                  <c:v>12.0</c:v>
                </c:pt>
                <c:pt idx="2">
                  <c:v>24.0</c:v>
                </c:pt>
                <c:pt idx="3">
                  <c:v>48.0</c:v>
                </c:pt>
              </c:numCache>
            </c:numRef>
          </c:cat>
          <c:val>
            <c:numRef>
              <c:f>'2012 qPCRs'!$AG$42:$AG$45</c:f>
              <c:numCache>
                <c:formatCode>General</c:formatCode>
                <c:ptCount val="4"/>
                <c:pt idx="0">
                  <c:v>0.758762503461775</c:v>
                </c:pt>
                <c:pt idx="1">
                  <c:v>0.844003316558107</c:v>
                </c:pt>
                <c:pt idx="2">
                  <c:v>0.968</c:v>
                </c:pt>
                <c:pt idx="3">
                  <c:v>0.928567554933844</c:v>
                </c:pt>
              </c:numCache>
            </c:numRef>
          </c:val>
          <c:smooth val="0"/>
        </c:ser>
        <c:ser>
          <c:idx val="1"/>
          <c:order val="1"/>
          <c:spPr>
            <a:ln>
              <a:noFill/>
            </a:ln>
            <a:effectLst/>
          </c:spPr>
          <c:marker>
            <c:symbol val="diamond"/>
            <c:size val="9"/>
            <c:spPr>
              <a:solidFill>
                <a:schemeClr val="tx1"/>
              </a:solidFill>
              <a:ln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qPCRs'!$AL$42:$AL$45</c:f>
                <c:numCache>
                  <c:formatCode>General</c:formatCode>
                  <c:ptCount val="4"/>
                  <c:pt idx="0">
                    <c:v>0.0383778023367904</c:v>
                  </c:pt>
                  <c:pt idx="1">
                    <c:v>0.0361597577481822</c:v>
                  </c:pt>
                  <c:pt idx="2">
                    <c:v>0.0501868264180657</c:v>
                  </c:pt>
                  <c:pt idx="3">
                    <c:v>0.0131169726395755</c:v>
                  </c:pt>
                </c:numCache>
              </c:numRef>
            </c:plus>
            <c:minus>
              <c:numRef>
                <c:f>'2012 qPCRs'!$AL$42:$AL$45</c:f>
                <c:numCache>
                  <c:formatCode>General</c:formatCode>
                  <c:ptCount val="4"/>
                  <c:pt idx="0">
                    <c:v>0.0383778023367904</c:v>
                  </c:pt>
                  <c:pt idx="1">
                    <c:v>0.0361597577481822</c:v>
                  </c:pt>
                  <c:pt idx="2">
                    <c:v>0.0501868264180657</c:v>
                  </c:pt>
                  <c:pt idx="3">
                    <c:v>0.0131169726395755</c:v>
                  </c:pt>
                </c:numCache>
              </c:numRef>
            </c:minus>
          </c:errBars>
          <c:cat>
            <c:numRef>
              <c:f>'2012 qPCRs'!$AF$42:$AF$45</c:f>
              <c:numCache>
                <c:formatCode>General</c:formatCode>
                <c:ptCount val="4"/>
                <c:pt idx="0">
                  <c:v>6.0</c:v>
                </c:pt>
                <c:pt idx="1">
                  <c:v>12.0</c:v>
                </c:pt>
                <c:pt idx="2">
                  <c:v>24.0</c:v>
                </c:pt>
                <c:pt idx="3">
                  <c:v>48.0</c:v>
                </c:pt>
              </c:numCache>
            </c:numRef>
          </c:cat>
          <c:val>
            <c:numRef>
              <c:f>'2012 qPCRs'!$AJ$42:$AJ$45</c:f>
              <c:numCache>
                <c:formatCode>General</c:formatCode>
                <c:ptCount val="4"/>
                <c:pt idx="0">
                  <c:v>0.919687148311238</c:v>
                </c:pt>
                <c:pt idx="1">
                  <c:v>0.899735536518938</c:v>
                </c:pt>
                <c:pt idx="2">
                  <c:v>0.87004588955849</c:v>
                </c:pt>
                <c:pt idx="3">
                  <c:v>0.954148351852234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219624"/>
        <c:axId val="2076216280"/>
      </c:lineChart>
      <c:catAx>
        <c:axId val="207621962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2700">
            <a:solidFill>
              <a:schemeClr val="tx1"/>
            </a:solidFill>
          </a:ln>
        </c:spPr>
        <c:crossAx val="2076216280"/>
        <c:crosses val="autoZero"/>
        <c:auto val="1"/>
        <c:lblAlgn val="ctr"/>
        <c:lblOffset val="100"/>
        <c:noMultiLvlLbl val="0"/>
      </c:catAx>
      <c:valAx>
        <c:axId val="2076216280"/>
        <c:scaling>
          <c:orientation val="minMax"/>
          <c:max val="1.3"/>
          <c:min val="0.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07621962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 sz="12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control</c:v>
          </c:tx>
          <c:spPr>
            <a:ln>
              <a:noFill/>
            </a:ln>
            <a:effectLst/>
          </c:spPr>
          <c:marker>
            <c:symbol val="square"/>
            <c:size val="10"/>
            <c:spPr>
              <a:noFill/>
              <a:ln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qPCRs'!$CX$34:$CX$37</c:f>
                <c:numCache>
                  <c:formatCode>General</c:formatCode>
                  <c:ptCount val="4"/>
                  <c:pt idx="0">
                    <c:v>3.809559765793813</c:v>
                  </c:pt>
                  <c:pt idx="1">
                    <c:v>3.346078137087941</c:v>
                  </c:pt>
                  <c:pt idx="2">
                    <c:v>8.68830102772168</c:v>
                  </c:pt>
                  <c:pt idx="3">
                    <c:v>24.69710167158967</c:v>
                  </c:pt>
                </c:numCache>
              </c:numRef>
            </c:plus>
            <c:minus>
              <c:numRef>
                <c:f>'2012 qPCRs'!$CX$34:$CX$37</c:f>
                <c:numCache>
                  <c:formatCode>General</c:formatCode>
                  <c:ptCount val="4"/>
                  <c:pt idx="0">
                    <c:v>3.809559765793813</c:v>
                  </c:pt>
                  <c:pt idx="1">
                    <c:v>3.346078137087941</c:v>
                  </c:pt>
                  <c:pt idx="2">
                    <c:v>8.68830102772168</c:v>
                  </c:pt>
                  <c:pt idx="3">
                    <c:v>24.69710167158967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cat>
            <c:numRef>
              <c:f>'2012 qPCRs'!$CU$34:$CU$37</c:f>
              <c:numCache>
                <c:formatCode>General</c:formatCode>
                <c:ptCount val="4"/>
                <c:pt idx="0">
                  <c:v>6.0</c:v>
                </c:pt>
                <c:pt idx="1">
                  <c:v>12.0</c:v>
                </c:pt>
                <c:pt idx="2">
                  <c:v>24.0</c:v>
                </c:pt>
                <c:pt idx="3">
                  <c:v>48.0</c:v>
                </c:pt>
              </c:numCache>
            </c:numRef>
          </c:cat>
          <c:val>
            <c:numRef>
              <c:f>'2012 qPCRs'!$CV$34:$CV$37</c:f>
              <c:numCache>
                <c:formatCode>General</c:formatCode>
                <c:ptCount val="4"/>
                <c:pt idx="0">
                  <c:v>15.55625526668551</c:v>
                </c:pt>
                <c:pt idx="1">
                  <c:v>34.402512835979</c:v>
                </c:pt>
                <c:pt idx="2">
                  <c:v>26.38462938418791</c:v>
                </c:pt>
                <c:pt idx="3">
                  <c:v>104.0944907314245</c:v>
                </c:pt>
              </c:numCache>
            </c:numRef>
          </c:val>
          <c:smooth val="0"/>
        </c:ser>
        <c:ser>
          <c:idx val="1"/>
          <c:order val="1"/>
          <c:spPr>
            <a:ln>
              <a:noFill/>
            </a:ln>
            <a:effectLst/>
          </c:spPr>
          <c:marker>
            <c:symbol val="diamond"/>
            <c:size val="9"/>
            <c:spPr>
              <a:solidFill>
                <a:schemeClr val="tx1"/>
              </a:solidFill>
              <a:ln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qPCRs'!$DA$34:$DA$37</c:f>
                <c:numCache>
                  <c:formatCode>General</c:formatCode>
                  <c:ptCount val="4"/>
                  <c:pt idx="0">
                    <c:v>8.822081349975175</c:v>
                  </c:pt>
                  <c:pt idx="1">
                    <c:v>4.999267360508667</c:v>
                  </c:pt>
                  <c:pt idx="2">
                    <c:v>4.829379526345572</c:v>
                  </c:pt>
                  <c:pt idx="3">
                    <c:v>2.191821277209028</c:v>
                  </c:pt>
                </c:numCache>
              </c:numRef>
            </c:plus>
            <c:minus>
              <c:numRef>
                <c:f>'2012 qPCRs'!$DA$34:$DA$37</c:f>
                <c:numCache>
                  <c:formatCode>General</c:formatCode>
                  <c:ptCount val="4"/>
                  <c:pt idx="0">
                    <c:v>8.822081349975175</c:v>
                  </c:pt>
                  <c:pt idx="1">
                    <c:v>4.999267360508667</c:v>
                  </c:pt>
                  <c:pt idx="2">
                    <c:v>4.829379526345572</c:v>
                  </c:pt>
                  <c:pt idx="3">
                    <c:v>2.191821277209028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val>
            <c:numRef>
              <c:f>'2012 qPCRs'!$CY$34:$CY$37</c:f>
              <c:numCache>
                <c:formatCode>General</c:formatCode>
                <c:ptCount val="4"/>
                <c:pt idx="0">
                  <c:v>38.04000517429695</c:v>
                </c:pt>
                <c:pt idx="1">
                  <c:v>44.5926945083526</c:v>
                </c:pt>
                <c:pt idx="2">
                  <c:v>51.86717087085648</c:v>
                </c:pt>
                <c:pt idx="3">
                  <c:v>22.18044456685675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181832"/>
        <c:axId val="2077331416"/>
      </c:lineChart>
      <c:catAx>
        <c:axId val="2076181832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2700">
            <a:solidFill>
              <a:schemeClr val="tx1"/>
            </a:solidFill>
          </a:ln>
        </c:spPr>
        <c:crossAx val="2077331416"/>
        <c:crosses val="autoZero"/>
        <c:auto val="1"/>
        <c:lblAlgn val="ctr"/>
        <c:lblOffset val="100"/>
        <c:noMultiLvlLbl val="0"/>
      </c:catAx>
      <c:valAx>
        <c:axId val="2077331416"/>
        <c:scaling>
          <c:orientation val="minMax"/>
          <c:max val="150.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076181832"/>
        <c:crosses val="autoZero"/>
        <c:crossBetween val="between"/>
        <c:majorUnit val="30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 sz="12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control</c:v>
          </c:tx>
          <c:spPr>
            <a:ln>
              <a:noFill/>
            </a:ln>
            <a:effectLst/>
          </c:spPr>
          <c:marker>
            <c:symbol val="square"/>
            <c:size val="10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qPCRs'!$DH$34:$DH$37</c:f>
                <c:numCache>
                  <c:formatCode>General</c:formatCode>
                  <c:ptCount val="4"/>
                  <c:pt idx="0">
                    <c:v>716.8527973438783</c:v>
                  </c:pt>
                  <c:pt idx="1">
                    <c:v>165.9567069021376</c:v>
                  </c:pt>
                  <c:pt idx="2">
                    <c:v>524.875472269317</c:v>
                  </c:pt>
                  <c:pt idx="3">
                    <c:v>549.6184628616398</c:v>
                  </c:pt>
                </c:numCache>
              </c:numRef>
            </c:plus>
            <c:minus>
              <c:numRef>
                <c:f>'2012 qPCRs'!$DH$34:$DH$37</c:f>
                <c:numCache>
                  <c:formatCode>General</c:formatCode>
                  <c:ptCount val="4"/>
                  <c:pt idx="0">
                    <c:v>716.8527973438783</c:v>
                  </c:pt>
                  <c:pt idx="1">
                    <c:v>165.9567069021376</c:v>
                  </c:pt>
                  <c:pt idx="2">
                    <c:v>524.875472269317</c:v>
                  </c:pt>
                  <c:pt idx="3">
                    <c:v>549.6184628616398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cat>
            <c:numRef>
              <c:f>'2012 qPCRs'!$DE$34:$DE$37</c:f>
              <c:numCache>
                <c:formatCode>General</c:formatCode>
                <c:ptCount val="4"/>
                <c:pt idx="0">
                  <c:v>6.0</c:v>
                </c:pt>
                <c:pt idx="1">
                  <c:v>12.0</c:v>
                </c:pt>
                <c:pt idx="2">
                  <c:v>24.0</c:v>
                </c:pt>
                <c:pt idx="3">
                  <c:v>48.0</c:v>
                </c:pt>
              </c:numCache>
            </c:numRef>
          </c:cat>
          <c:val>
            <c:numRef>
              <c:f>'2012 qPCRs'!$DF$34:$DF$37</c:f>
              <c:numCache>
                <c:formatCode>General</c:formatCode>
                <c:ptCount val="4"/>
                <c:pt idx="0">
                  <c:v>2577.518212818478</c:v>
                </c:pt>
                <c:pt idx="1">
                  <c:v>1117.399674668463</c:v>
                </c:pt>
                <c:pt idx="2">
                  <c:v>1473.077838147691</c:v>
                </c:pt>
                <c:pt idx="3">
                  <c:v>2637.141717455808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'2012 qPCRs'!$DI$34:$DI$37</c:f>
              <c:numCache>
                <c:formatCode>General</c:formatCode>
                <c:ptCount val="4"/>
                <c:pt idx="0">
                  <c:v>1631.873154095731</c:v>
                </c:pt>
                <c:pt idx="1">
                  <c:v>1044.746284609698</c:v>
                </c:pt>
                <c:pt idx="2">
                  <c:v>1204.38180193831</c:v>
                </c:pt>
                <c:pt idx="3">
                  <c:v>1222.581810463631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360744"/>
        <c:axId val="2077363720"/>
      </c:lineChart>
      <c:catAx>
        <c:axId val="2077360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7363720"/>
        <c:crosses val="autoZero"/>
        <c:auto val="1"/>
        <c:lblAlgn val="ctr"/>
        <c:lblOffset val="100"/>
        <c:noMultiLvlLbl val="0"/>
      </c:catAx>
      <c:valAx>
        <c:axId val="2077363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77360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 sz="12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effectLst/>
          </c:spPr>
          <c:marker>
            <c:symbol val="square"/>
            <c:size val="11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qPCRs'!$DM$47:$DM$54</c:f>
                <c:numCache>
                  <c:formatCode>General</c:formatCode>
                  <c:ptCount val="8"/>
                  <c:pt idx="0">
                    <c:v>717.0</c:v>
                  </c:pt>
                  <c:pt idx="1">
                    <c:v>574.0</c:v>
                  </c:pt>
                  <c:pt idx="2">
                    <c:v>166.0</c:v>
                  </c:pt>
                  <c:pt idx="3">
                    <c:v>155.0</c:v>
                  </c:pt>
                  <c:pt idx="4">
                    <c:v>525.0</c:v>
                  </c:pt>
                  <c:pt idx="5">
                    <c:v>105.0</c:v>
                  </c:pt>
                  <c:pt idx="6">
                    <c:v>952.0</c:v>
                  </c:pt>
                  <c:pt idx="7">
                    <c:v>296.0</c:v>
                  </c:pt>
                </c:numCache>
              </c:numRef>
            </c:plus>
            <c:minus>
              <c:numRef>
                <c:f>'2012 qPCRs'!$DM$47:$DM$54</c:f>
                <c:numCache>
                  <c:formatCode>General</c:formatCode>
                  <c:ptCount val="8"/>
                  <c:pt idx="0">
                    <c:v>717.0</c:v>
                  </c:pt>
                  <c:pt idx="1">
                    <c:v>574.0</c:v>
                  </c:pt>
                  <c:pt idx="2">
                    <c:v>166.0</c:v>
                  </c:pt>
                  <c:pt idx="3">
                    <c:v>155.0</c:v>
                  </c:pt>
                  <c:pt idx="4">
                    <c:v>525.0</c:v>
                  </c:pt>
                  <c:pt idx="5">
                    <c:v>105.0</c:v>
                  </c:pt>
                  <c:pt idx="6">
                    <c:v>952.0</c:v>
                  </c:pt>
                  <c:pt idx="7">
                    <c:v>296.0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  <a:effectLst/>
            </c:spPr>
          </c:errBars>
          <c:val>
            <c:numRef>
              <c:f>'2012 qPCRs'!$DK$47:$DK$54</c:f>
              <c:numCache>
                <c:formatCode>General</c:formatCode>
                <c:ptCount val="8"/>
                <c:pt idx="0">
                  <c:v>2578.0</c:v>
                </c:pt>
                <c:pt idx="2">
                  <c:v>1117.0</c:v>
                </c:pt>
                <c:pt idx="4">
                  <c:v>1473.0</c:v>
                </c:pt>
                <c:pt idx="6">
                  <c:v>2637.0</c:v>
                </c:pt>
              </c:numCache>
            </c:numRef>
          </c:val>
          <c:smooth val="1"/>
        </c:ser>
        <c:ser>
          <c:idx val="1"/>
          <c:order val="1"/>
          <c:spPr>
            <a:effectLst/>
          </c:spPr>
          <c:marker>
            <c:symbol val="diamond"/>
            <c:size val="17"/>
            <c:spPr>
              <a:solidFill>
                <a:schemeClr val="tx1"/>
              </a:solidFill>
              <a:ln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qPCRs'!$DK$34:$DK$37</c:f>
                <c:numCache>
                  <c:formatCode>General</c:formatCode>
                  <c:ptCount val="4"/>
                  <c:pt idx="0">
                    <c:v>573.496446528325</c:v>
                  </c:pt>
                  <c:pt idx="1">
                    <c:v>155.1210709675739</c:v>
                  </c:pt>
                  <c:pt idx="2">
                    <c:v>104.7190372806067</c:v>
                  </c:pt>
                  <c:pt idx="3">
                    <c:v>296.2291059810483</c:v>
                  </c:pt>
                </c:numCache>
              </c:numRef>
            </c:plus>
            <c:minus>
              <c:numRef>
                <c:f>'2012 qPCRs'!$DK$34:$DK$37</c:f>
                <c:numCache>
                  <c:formatCode>General</c:formatCode>
                  <c:ptCount val="4"/>
                  <c:pt idx="0">
                    <c:v>573.496446528325</c:v>
                  </c:pt>
                  <c:pt idx="1">
                    <c:v>155.1210709675739</c:v>
                  </c:pt>
                  <c:pt idx="2">
                    <c:v>104.7190372806067</c:v>
                  </c:pt>
                  <c:pt idx="3">
                    <c:v>296.2291059810483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val>
            <c:numRef>
              <c:f>'2012 qPCRs'!$DL$47:$DL$54</c:f>
              <c:numCache>
                <c:formatCode>General</c:formatCode>
                <c:ptCount val="8"/>
                <c:pt idx="1">
                  <c:v>1632.0</c:v>
                </c:pt>
                <c:pt idx="3">
                  <c:v>1045.0</c:v>
                </c:pt>
                <c:pt idx="5">
                  <c:v>1204.0</c:v>
                </c:pt>
                <c:pt idx="7">
                  <c:v>1223.0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398920"/>
        <c:axId val="2077402232"/>
      </c:lineChart>
      <c:catAx>
        <c:axId val="207739892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12700">
            <a:solidFill>
              <a:schemeClr val="tx1"/>
            </a:solidFill>
          </a:ln>
        </c:spPr>
        <c:crossAx val="2077402232"/>
        <c:crosses val="autoZero"/>
        <c:auto val="1"/>
        <c:lblAlgn val="ctr"/>
        <c:lblOffset val="100"/>
        <c:noMultiLvlLbl val="0"/>
      </c:catAx>
      <c:valAx>
        <c:axId val="2077402232"/>
        <c:scaling>
          <c:orientation val="minMax"/>
          <c:max val="4000.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077398920"/>
        <c:crosses val="autoZero"/>
        <c:crossBetween val="between"/>
        <c:majorUnit val="1000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 sz="12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</c:v>
          </c:tx>
          <c:spPr>
            <a:ln>
              <a:noFill/>
            </a:ln>
            <a:effectLst/>
          </c:spPr>
          <c:marker>
            <c:symbol val="square"/>
            <c:size val="9"/>
            <c:spPr>
              <a:noFill/>
              <a:ln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qPCRs'!$EB$34:$EB$37</c:f>
                <c:numCache>
                  <c:formatCode>General</c:formatCode>
                  <c:ptCount val="4"/>
                  <c:pt idx="0">
                    <c:v>86.85846678573521</c:v>
                  </c:pt>
                  <c:pt idx="1">
                    <c:v>185.9784935957964</c:v>
                  </c:pt>
                  <c:pt idx="2">
                    <c:v>9.426610449764492</c:v>
                  </c:pt>
                  <c:pt idx="3">
                    <c:v>16.29840378347063</c:v>
                  </c:pt>
                </c:numCache>
              </c:numRef>
            </c:plus>
            <c:minus>
              <c:numRef>
                <c:f>'2012 qPCRs'!$EB$34:$EB$37</c:f>
                <c:numCache>
                  <c:formatCode>General</c:formatCode>
                  <c:ptCount val="4"/>
                  <c:pt idx="0">
                    <c:v>86.85846678573521</c:v>
                  </c:pt>
                  <c:pt idx="1">
                    <c:v>185.9784935957964</c:v>
                  </c:pt>
                  <c:pt idx="2">
                    <c:v>9.426610449764492</c:v>
                  </c:pt>
                  <c:pt idx="3">
                    <c:v>16.29840378347063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cat>
            <c:numRef>
              <c:f>'2012 qPCRs'!$DY$34:$DY$37</c:f>
              <c:numCache>
                <c:formatCode>General</c:formatCode>
                <c:ptCount val="4"/>
                <c:pt idx="0">
                  <c:v>6.0</c:v>
                </c:pt>
                <c:pt idx="1">
                  <c:v>12.0</c:v>
                </c:pt>
                <c:pt idx="2">
                  <c:v>24.0</c:v>
                </c:pt>
                <c:pt idx="3">
                  <c:v>48.0</c:v>
                </c:pt>
              </c:numCache>
            </c:numRef>
          </c:cat>
          <c:val>
            <c:numRef>
              <c:f>'2012 qPCRs'!$DZ$34:$DZ$37</c:f>
              <c:numCache>
                <c:formatCode>General</c:formatCode>
                <c:ptCount val="4"/>
                <c:pt idx="0">
                  <c:v>325.5663815335522</c:v>
                </c:pt>
                <c:pt idx="1">
                  <c:v>416.7754414911988</c:v>
                </c:pt>
                <c:pt idx="2">
                  <c:v>21.69447204798379</c:v>
                </c:pt>
                <c:pt idx="3">
                  <c:v>49.10679491585392</c:v>
                </c:pt>
              </c:numCache>
            </c:numRef>
          </c:val>
          <c:smooth val="0"/>
        </c:ser>
        <c:ser>
          <c:idx val="1"/>
          <c:order val="1"/>
          <c:spPr>
            <a:ln>
              <a:noFill/>
            </a:ln>
            <a:effectLst/>
          </c:spPr>
          <c:marker>
            <c:symbol val="diamond"/>
            <c:size val="9"/>
            <c:spPr>
              <a:solidFill>
                <a:schemeClr val="tx1"/>
              </a:solidFill>
              <a:ln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qPCRs'!$EE$34:$EE$37</c:f>
                <c:numCache>
                  <c:formatCode>General</c:formatCode>
                  <c:ptCount val="4"/>
                  <c:pt idx="0">
                    <c:v>154.0466375481998</c:v>
                  </c:pt>
                  <c:pt idx="1">
                    <c:v>3.763766916275252</c:v>
                  </c:pt>
                  <c:pt idx="2">
                    <c:v>8.178570036383078</c:v>
                  </c:pt>
                  <c:pt idx="3">
                    <c:v>292.2307354839986</c:v>
                  </c:pt>
                </c:numCache>
              </c:numRef>
            </c:plus>
            <c:minus>
              <c:numRef>
                <c:f>'2012 qPCRs'!$EE$34:$EE$37</c:f>
                <c:numCache>
                  <c:formatCode>General</c:formatCode>
                  <c:ptCount val="4"/>
                  <c:pt idx="0">
                    <c:v>154.0466375481998</c:v>
                  </c:pt>
                  <c:pt idx="1">
                    <c:v>3.763766916275252</c:v>
                  </c:pt>
                  <c:pt idx="2">
                    <c:v>8.178570036383078</c:v>
                  </c:pt>
                  <c:pt idx="3">
                    <c:v>292.2307354839986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val>
            <c:numRef>
              <c:f>'2012 qPCRs'!$EC$34:$EC$37</c:f>
              <c:numCache>
                <c:formatCode>General</c:formatCode>
                <c:ptCount val="4"/>
                <c:pt idx="0">
                  <c:v>355.7270718772284</c:v>
                </c:pt>
                <c:pt idx="1">
                  <c:v>44.00664042232722</c:v>
                </c:pt>
                <c:pt idx="2">
                  <c:v>32.59810505147442</c:v>
                </c:pt>
                <c:pt idx="3">
                  <c:v>434.7853498383989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437864"/>
        <c:axId val="2077441176"/>
      </c:lineChart>
      <c:catAx>
        <c:axId val="207743786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2700">
            <a:solidFill>
              <a:schemeClr val="tx1"/>
            </a:solidFill>
          </a:ln>
        </c:spPr>
        <c:crossAx val="2077441176"/>
        <c:crosses val="autoZero"/>
        <c:auto val="1"/>
        <c:lblAlgn val="ctr"/>
        <c:lblOffset val="100"/>
        <c:noMultiLvlLbl val="0"/>
      </c:catAx>
      <c:valAx>
        <c:axId val="2077441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077437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 sz="12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control</c:v>
          </c:tx>
          <c:spPr>
            <a:effectLst/>
          </c:spPr>
          <c:marker>
            <c:symbol val="square"/>
            <c:size val="9"/>
            <c:spPr>
              <a:noFill/>
              <a:ln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qPCRs'!$DR$34:$DR$37</c:f>
                <c:numCache>
                  <c:formatCode>General</c:formatCode>
                  <c:ptCount val="4"/>
                  <c:pt idx="0">
                    <c:v>482.2847614539532</c:v>
                  </c:pt>
                  <c:pt idx="1">
                    <c:v>250.8390414308342</c:v>
                  </c:pt>
                  <c:pt idx="2">
                    <c:v>201.8398019164064</c:v>
                  </c:pt>
                  <c:pt idx="3">
                    <c:v>69.76800827461578</c:v>
                  </c:pt>
                </c:numCache>
              </c:numRef>
            </c:plus>
            <c:minus>
              <c:numRef>
                <c:f>'2012 qPCRs'!$DR$34:$DR$37</c:f>
                <c:numCache>
                  <c:formatCode>General</c:formatCode>
                  <c:ptCount val="4"/>
                  <c:pt idx="0">
                    <c:v>482.2847614539532</c:v>
                  </c:pt>
                  <c:pt idx="1">
                    <c:v>250.8390414308342</c:v>
                  </c:pt>
                  <c:pt idx="2">
                    <c:v>201.8398019164064</c:v>
                  </c:pt>
                  <c:pt idx="3">
                    <c:v>69.76800827461578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cat>
            <c:numRef>
              <c:f>'2012 qPCRs'!$DO$34:$DO$37</c:f>
              <c:numCache>
                <c:formatCode>General</c:formatCode>
                <c:ptCount val="4"/>
                <c:pt idx="0">
                  <c:v>6.0</c:v>
                </c:pt>
                <c:pt idx="1">
                  <c:v>12.0</c:v>
                </c:pt>
                <c:pt idx="2">
                  <c:v>24.0</c:v>
                </c:pt>
                <c:pt idx="3">
                  <c:v>48.0</c:v>
                </c:pt>
              </c:numCache>
            </c:numRef>
          </c:cat>
          <c:val>
            <c:numRef>
              <c:f>'2012 qPCRs'!$DP$34:$DP$37</c:f>
              <c:numCache>
                <c:formatCode>General</c:formatCode>
                <c:ptCount val="4"/>
                <c:pt idx="0">
                  <c:v>1970.180657846788</c:v>
                </c:pt>
                <c:pt idx="1">
                  <c:v>842.3197450559701</c:v>
                </c:pt>
                <c:pt idx="2">
                  <c:v>714.2251122363107</c:v>
                </c:pt>
                <c:pt idx="3">
                  <c:v>1155.674374787499</c:v>
                </c:pt>
              </c:numCache>
            </c:numRef>
          </c:val>
          <c:smooth val="0"/>
        </c:ser>
        <c:ser>
          <c:idx val="1"/>
          <c:order val="1"/>
          <c:spPr>
            <a:effectLst/>
          </c:spPr>
          <c:marker>
            <c:symbol val="diamond"/>
            <c:size val="9"/>
            <c:spPr>
              <a:solidFill>
                <a:schemeClr val="tx1"/>
              </a:solidFill>
              <a:ln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qPCRs'!$DU$34:$DU$37</c:f>
                <c:numCache>
                  <c:formatCode>General</c:formatCode>
                  <c:ptCount val="4"/>
                  <c:pt idx="0">
                    <c:v>162.3174743991889</c:v>
                  </c:pt>
                  <c:pt idx="1">
                    <c:v>143.3710407936852</c:v>
                  </c:pt>
                  <c:pt idx="2">
                    <c:v>247.2631202666202</c:v>
                  </c:pt>
                  <c:pt idx="3">
                    <c:v>244.9496917307763</c:v>
                  </c:pt>
                </c:numCache>
              </c:numRef>
            </c:plus>
            <c:minus>
              <c:numRef>
                <c:f>'2012 qPCRs'!$DU$34:$DU$37</c:f>
                <c:numCache>
                  <c:formatCode>General</c:formatCode>
                  <c:ptCount val="4"/>
                  <c:pt idx="0">
                    <c:v>162.3174743991889</c:v>
                  </c:pt>
                  <c:pt idx="1">
                    <c:v>143.3710407936852</c:v>
                  </c:pt>
                  <c:pt idx="2">
                    <c:v>247.2631202666202</c:v>
                  </c:pt>
                  <c:pt idx="3">
                    <c:v>244.9496917307763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val>
            <c:numRef>
              <c:f>'2012 qPCRs'!$DS$34:$DS$37</c:f>
              <c:numCache>
                <c:formatCode>General</c:formatCode>
                <c:ptCount val="4"/>
                <c:pt idx="0">
                  <c:v>1635.843885898183</c:v>
                </c:pt>
                <c:pt idx="1">
                  <c:v>636.3781227200108</c:v>
                </c:pt>
                <c:pt idx="2">
                  <c:v>879.031848267986</c:v>
                </c:pt>
                <c:pt idx="3">
                  <c:v>435.4425239656991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476888"/>
        <c:axId val="2077480200"/>
      </c:lineChart>
      <c:catAx>
        <c:axId val="20774768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2700">
            <a:solidFill>
              <a:schemeClr val="tx1"/>
            </a:solidFill>
          </a:ln>
        </c:spPr>
        <c:crossAx val="2077480200"/>
        <c:crosses val="autoZero"/>
        <c:auto val="1"/>
        <c:lblAlgn val="ctr"/>
        <c:lblOffset val="100"/>
        <c:noMultiLvlLbl val="0"/>
      </c:catAx>
      <c:valAx>
        <c:axId val="2077480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077476888"/>
        <c:crosses val="autoZero"/>
        <c:crossBetween val="between"/>
        <c:majorUnit val="1000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 sz="12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control</c:v>
          </c:tx>
          <c:spPr>
            <a:ln>
              <a:noFill/>
            </a:ln>
            <a:effectLst/>
          </c:spPr>
          <c:marker>
            <c:symbol val="square"/>
            <c:size val="9"/>
            <c:spPr>
              <a:noFill/>
              <a:ln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qPCRs'!$EL$34:$EL$37</c:f>
                <c:numCache>
                  <c:formatCode>General</c:formatCode>
                  <c:ptCount val="4"/>
                  <c:pt idx="0">
                    <c:v>742.8447825966524</c:v>
                  </c:pt>
                  <c:pt idx="1">
                    <c:v>310.9793340247466</c:v>
                  </c:pt>
                  <c:pt idx="2">
                    <c:v>300.4703624227213</c:v>
                  </c:pt>
                  <c:pt idx="3">
                    <c:v>438.5808789287698</c:v>
                  </c:pt>
                </c:numCache>
              </c:numRef>
            </c:plus>
            <c:minus>
              <c:numRef>
                <c:f>'2012 qPCRs'!$EL$34:$EL$37</c:f>
                <c:numCache>
                  <c:formatCode>General</c:formatCode>
                  <c:ptCount val="4"/>
                  <c:pt idx="0">
                    <c:v>742.8447825966524</c:v>
                  </c:pt>
                  <c:pt idx="1">
                    <c:v>310.9793340247466</c:v>
                  </c:pt>
                  <c:pt idx="2">
                    <c:v>300.4703624227213</c:v>
                  </c:pt>
                  <c:pt idx="3">
                    <c:v>438.5808789287698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cat>
            <c:numRef>
              <c:f>'2012 qPCRs'!$EI$34:$EI$37</c:f>
              <c:numCache>
                <c:formatCode>General</c:formatCode>
                <c:ptCount val="4"/>
                <c:pt idx="0">
                  <c:v>6.0</c:v>
                </c:pt>
                <c:pt idx="1">
                  <c:v>12.0</c:v>
                </c:pt>
                <c:pt idx="2">
                  <c:v>24.0</c:v>
                </c:pt>
                <c:pt idx="3">
                  <c:v>48.0</c:v>
                </c:pt>
              </c:numCache>
            </c:numRef>
          </c:cat>
          <c:val>
            <c:numRef>
              <c:f>'2012 qPCRs'!$EJ$34:$EJ$37</c:f>
              <c:numCache>
                <c:formatCode>General</c:formatCode>
                <c:ptCount val="4"/>
                <c:pt idx="0">
                  <c:v>1952.732850675955</c:v>
                </c:pt>
                <c:pt idx="1">
                  <c:v>1191.450838973748</c:v>
                </c:pt>
                <c:pt idx="2">
                  <c:v>689.8517042870187</c:v>
                </c:pt>
                <c:pt idx="3">
                  <c:v>1233.498318717555</c:v>
                </c:pt>
              </c:numCache>
            </c:numRef>
          </c:val>
          <c:smooth val="0"/>
        </c:ser>
        <c:ser>
          <c:idx val="1"/>
          <c:order val="1"/>
          <c:spPr>
            <a:ln>
              <a:noFill/>
            </a:ln>
            <a:effectLst/>
          </c:spPr>
          <c:marker>
            <c:symbol val="diamond"/>
            <c:size val="9"/>
            <c:spPr>
              <a:solidFill>
                <a:schemeClr val="tx1"/>
              </a:solidFill>
              <a:ln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qPCRs'!$EO$34:$EO$37</c:f>
                <c:numCache>
                  <c:formatCode>General</c:formatCode>
                  <c:ptCount val="4"/>
                  <c:pt idx="0">
                    <c:v>363.9487176751842</c:v>
                  </c:pt>
                  <c:pt idx="1">
                    <c:v>483.7847868636699</c:v>
                  </c:pt>
                  <c:pt idx="2">
                    <c:v>870.8823295006573</c:v>
                  </c:pt>
                  <c:pt idx="3">
                    <c:v>153.3896286602825</c:v>
                  </c:pt>
                </c:numCache>
              </c:numRef>
            </c:plus>
            <c:minus>
              <c:numRef>
                <c:f>'2012 qPCRs'!$EO$34:$EO$37</c:f>
                <c:numCache>
                  <c:formatCode>General</c:formatCode>
                  <c:ptCount val="4"/>
                  <c:pt idx="0">
                    <c:v>363.9487176751842</c:v>
                  </c:pt>
                  <c:pt idx="1">
                    <c:v>483.7847868636699</c:v>
                  </c:pt>
                  <c:pt idx="2">
                    <c:v>870.8823295006573</c:v>
                  </c:pt>
                  <c:pt idx="3">
                    <c:v>153.3896286602825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val>
            <c:numRef>
              <c:f>'2012 qPCRs'!$EM$34:$EM$37</c:f>
              <c:numCache>
                <c:formatCode>General</c:formatCode>
                <c:ptCount val="4"/>
                <c:pt idx="0">
                  <c:v>1466.575510188367</c:v>
                </c:pt>
                <c:pt idx="1">
                  <c:v>1114.996408834274</c:v>
                </c:pt>
                <c:pt idx="2">
                  <c:v>2148.973753185265</c:v>
                </c:pt>
                <c:pt idx="3">
                  <c:v>1667.741682504648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515592"/>
        <c:axId val="2077518904"/>
      </c:lineChart>
      <c:catAx>
        <c:axId val="2077515592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2700">
            <a:solidFill>
              <a:schemeClr val="tx1"/>
            </a:solidFill>
          </a:ln>
        </c:spPr>
        <c:crossAx val="2077518904"/>
        <c:crosses val="autoZero"/>
        <c:auto val="1"/>
        <c:lblAlgn val="ctr"/>
        <c:lblOffset val="100"/>
        <c:noMultiLvlLbl val="0"/>
      </c:catAx>
      <c:valAx>
        <c:axId val="2077518904"/>
        <c:scaling>
          <c:orientation val="minMax"/>
          <c:max val="3000.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077515592"/>
        <c:crosses val="autoZero"/>
        <c:crossBetween val="between"/>
        <c:majorUnit val="1000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82405922959217"/>
          <c:y val="0.0737180929293372"/>
          <c:w val="0.868036278196801"/>
          <c:h val="0.72115525691742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0731784688787712"/>
                  <c:y val="-0.20389190377293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</c:trendlineLbl>
          </c:trendline>
          <c:xVal>
            <c:numRef>
              <c:f>extractions!$G$2:$G$91</c:f>
              <c:numCache>
                <c:formatCode>General</c:formatCode>
                <c:ptCount val="90"/>
                <c:pt idx="0">
                  <c:v>28.5</c:v>
                </c:pt>
                <c:pt idx="1">
                  <c:v>25.7</c:v>
                </c:pt>
                <c:pt idx="2">
                  <c:v>34.8</c:v>
                </c:pt>
                <c:pt idx="3">
                  <c:v>26.9</c:v>
                </c:pt>
                <c:pt idx="4">
                  <c:v>34.9</c:v>
                </c:pt>
                <c:pt idx="5">
                  <c:v>208.3</c:v>
                </c:pt>
                <c:pt idx="6">
                  <c:v>137.0</c:v>
                </c:pt>
                <c:pt idx="7">
                  <c:v>16.7</c:v>
                </c:pt>
                <c:pt idx="8">
                  <c:v>24.0</c:v>
                </c:pt>
                <c:pt idx="9">
                  <c:v>11.6</c:v>
                </c:pt>
                <c:pt idx="10">
                  <c:v>9.0</c:v>
                </c:pt>
                <c:pt idx="11">
                  <c:v>14.7</c:v>
                </c:pt>
                <c:pt idx="12">
                  <c:v>102.1</c:v>
                </c:pt>
                <c:pt idx="13">
                  <c:v>145.1</c:v>
                </c:pt>
                <c:pt idx="14">
                  <c:v>115.6</c:v>
                </c:pt>
                <c:pt idx="15">
                  <c:v>108.5</c:v>
                </c:pt>
                <c:pt idx="16">
                  <c:v>331.1</c:v>
                </c:pt>
                <c:pt idx="17">
                  <c:v>117.8</c:v>
                </c:pt>
                <c:pt idx="18">
                  <c:v>40.4</c:v>
                </c:pt>
                <c:pt idx="19">
                  <c:v>141.4</c:v>
                </c:pt>
                <c:pt idx="20">
                  <c:v>148.3</c:v>
                </c:pt>
                <c:pt idx="21">
                  <c:v>350.6</c:v>
                </c:pt>
                <c:pt idx="22">
                  <c:v>265.3</c:v>
                </c:pt>
                <c:pt idx="23">
                  <c:v>330.45</c:v>
                </c:pt>
                <c:pt idx="24">
                  <c:v>220.75</c:v>
                </c:pt>
                <c:pt idx="25">
                  <c:v>248.35</c:v>
                </c:pt>
                <c:pt idx="26">
                  <c:v>182.7</c:v>
                </c:pt>
                <c:pt idx="27">
                  <c:v>250.7</c:v>
                </c:pt>
                <c:pt idx="28">
                  <c:v>160.8</c:v>
                </c:pt>
                <c:pt idx="29">
                  <c:v>233.4</c:v>
                </c:pt>
                <c:pt idx="30">
                  <c:v>140.6</c:v>
                </c:pt>
                <c:pt idx="31">
                  <c:v>157.8</c:v>
                </c:pt>
                <c:pt idx="32">
                  <c:v>361.4</c:v>
                </c:pt>
                <c:pt idx="33">
                  <c:v>182.7</c:v>
                </c:pt>
                <c:pt idx="34">
                  <c:v>222.2</c:v>
                </c:pt>
                <c:pt idx="35">
                  <c:v>329.3</c:v>
                </c:pt>
                <c:pt idx="36">
                  <c:v>169.5</c:v>
                </c:pt>
                <c:pt idx="37">
                  <c:v>255.45</c:v>
                </c:pt>
                <c:pt idx="38">
                  <c:v>202.0</c:v>
                </c:pt>
                <c:pt idx="39">
                  <c:v>305.85</c:v>
                </c:pt>
                <c:pt idx="40">
                  <c:v>323.25</c:v>
                </c:pt>
                <c:pt idx="41">
                  <c:v>137.8</c:v>
                </c:pt>
                <c:pt idx="42">
                  <c:v>289.4</c:v>
                </c:pt>
                <c:pt idx="43">
                  <c:v>161.0</c:v>
                </c:pt>
                <c:pt idx="44">
                  <c:v>353.2</c:v>
                </c:pt>
                <c:pt idx="45">
                  <c:v>483.4</c:v>
                </c:pt>
                <c:pt idx="46">
                  <c:v>303.6</c:v>
                </c:pt>
                <c:pt idx="47">
                  <c:v>352.9</c:v>
                </c:pt>
                <c:pt idx="48">
                  <c:v>172.6</c:v>
                </c:pt>
                <c:pt idx="49">
                  <c:v>324.95</c:v>
                </c:pt>
                <c:pt idx="50">
                  <c:v>398.4</c:v>
                </c:pt>
                <c:pt idx="51">
                  <c:v>182.3</c:v>
                </c:pt>
                <c:pt idx="52">
                  <c:v>211.8</c:v>
                </c:pt>
                <c:pt idx="53">
                  <c:v>192.5</c:v>
                </c:pt>
                <c:pt idx="54">
                  <c:v>202.2</c:v>
                </c:pt>
                <c:pt idx="55">
                  <c:v>287.05</c:v>
                </c:pt>
                <c:pt idx="56">
                  <c:v>176.2</c:v>
                </c:pt>
                <c:pt idx="57">
                  <c:v>272.8</c:v>
                </c:pt>
                <c:pt idx="58">
                  <c:v>165.2</c:v>
                </c:pt>
                <c:pt idx="59">
                  <c:v>303.15</c:v>
                </c:pt>
                <c:pt idx="60">
                  <c:v>373.85</c:v>
                </c:pt>
                <c:pt idx="61">
                  <c:v>339.7</c:v>
                </c:pt>
                <c:pt idx="62">
                  <c:v>410.2</c:v>
                </c:pt>
                <c:pt idx="63">
                  <c:v>242.2</c:v>
                </c:pt>
                <c:pt idx="64">
                  <c:v>227.25</c:v>
                </c:pt>
                <c:pt idx="65">
                  <c:v>328.7</c:v>
                </c:pt>
                <c:pt idx="66">
                  <c:v>369.75</c:v>
                </c:pt>
                <c:pt idx="67">
                  <c:v>298.6</c:v>
                </c:pt>
                <c:pt idx="68">
                  <c:v>314.5</c:v>
                </c:pt>
                <c:pt idx="69">
                  <c:v>165.7</c:v>
                </c:pt>
                <c:pt idx="70">
                  <c:v>156.45</c:v>
                </c:pt>
                <c:pt idx="71">
                  <c:v>208.7</c:v>
                </c:pt>
                <c:pt idx="72">
                  <c:v>178.5</c:v>
                </c:pt>
                <c:pt idx="73">
                  <c:v>266.1</c:v>
                </c:pt>
                <c:pt idx="74">
                  <c:v>269.4</c:v>
                </c:pt>
                <c:pt idx="75">
                  <c:v>231.5</c:v>
                </c:pt>
                <c:pt idx="76">
                  <c:v>142.0</c:v>
                </c:pt>
                <c:pt idx="77">
                  <c:v>195.2</c:v>
                </c:pt>
                <c:pt idx="78">
                  <c:v>210.0</c:v>
                </c:pt>
                <c:pt idx="79">
                  <c:v>327.3</c:v>
                </c:pt>
                <c:pt idx="80">
                  <c:v>200.3</c:v>
                </c:pt>
                <c:pt idx="81">
                  <c:v>177.5</c:v>
                </c:pt>
                <c:pt idx="82">
                  <c:v>167.95</c:v>
                </c:pt>
                <c:pt idx="83">
                  <c:v>386.2</c:v>
                </c:pt>
                <c:pt idx="84">
                  <c:v>357.45</c:v>
                </c:pt>
                <c:pt idx="85">
                  <c:v>183.5</c:v>
                </c:pt>
                <c:pt idx="86">
                  <c:v>289.5</c:v>
                </c:pt>
                <c:pt idx="87">
                  <c:v>351.6</c:v>
                </c:pt>
                <c:pt idx="88">
                  <c:v>186.4</c:v>
                </c:pt>
                <c:pt idx="89">
                  <c:v>257.7</c:v>
                </c:pt>
              </c:numCache>
            </c:numRef>
          </c:xVal>
          <c:yVal>
            <c:numRef>
              <c:f>extractions!$U$2:$U$91</c:f>
              <c:numCache>
                <c:formatCode>General</c:formatCode>
                <c:ptCount val="90"/>
                <c:pt idx="0">
                  <c:v>13.8</c:v>
                </c:pt>
                <c:pt idx="1">
                  <c:v>20.1</c:v>
                </c:pt>
                <c:pt idx="2">
                  <c:v>20.5</c:v>
                </c:pt>
                <c:pt idx="3">
                  <c:v>17.0</c:v>
                </c:pt>
                <c:pt idx="4">
                  <c:v>6.9</c:v>
                </c:pt>
                <c:pt idx="5">
                  <c:v>53.5</c:v>
                </c:pt>
                <c:pt idx="6">
                  <c:v>83.30000000000001</c:v>
                </c:pt>
                <c:pt idx="7">
                  <c:v>62.2</c:v>
                </c:pt>
                <c:pt idx="8">
                  <c:v>150.2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35.2</c:v>
                </c:pt>
                <c:pt idx="13">
                  <c:v>31.15</c:v>
                </c:pt>
                <c:pt idx="14">
                  <c:v>28.3</c:v>
                </c:pt>
                <c:pt idx="15">
                  <c:v>31.0</c:v>
                </c:pt>
                <c:pt idx="16">
                  <c:v>87.4</c:v>
                </c:pt>
                <c:pt idx="17">
                  <c:v>20.4</c:v>
                </c:pt>
                <c:pt idx="18">
                  <c:v>9.8</c:v>
                </c:pt>
                <c:pt idx="19">
                  <c:v>24.9</c:v>
                </c:pt>
                <c:pt idx="20">
                  <c:v>18.1</c:v>
                </c:pt>
                <c:pt idx="21">
                  <c:v>80.5</c:v>
                </c:pt>
                <c:pt idx="22">
                  <c:v>70.1</c:v>
                </c:pt>
                <c:pt idx="23">
                  <c:v>72.0</c:v>
                </c:pt>
                <c:pt idx="24">
                  <c:v>36.8</c:v>
                </c:pt>
                <c:pt idx="25">
                  <c:v>69.94999999999998</c:v>
                </c:pt>
                <c:pt idx="26">
                  <c:v>48.1</c:v>
                </c:pt>
                <c:pt idx="27">
                  <c:v>64.85</c:v>
                </c:pt>
                <c:pt idx="28">
                  <c:v>42.6</c:v>
                </c:pt>
                <c:pt idx="29">
                  <c:v>60.8</c:v>
                </c:pt>
                <c:pt idx="30">
                  <c:v>41.8</c:v>
                </c:pt>
                <c:pt idx="31">
                  <c:v>24.2</c:v>
                </c:pt>
                <c:pt idx="32">
                  <c:v>67.9</c:v>
                </c:pt>
                <c:pt idx="33">
                  <c:v>53.55</c:v>
                </c:pt>
                <c:pt idx="34">
                  <c:v>64.1</c:v>
                </c:pt>
                <c:pt idx="35">
                  <c:v>54.2</c:v>
                </c:pt>
                <c:pt idx="36">
                  <c:v>49.7</c:v>
                </c:pt>
                <c:pt idx="37">
                  <c:v>68.35</c:v>
                </c:pt>
                <c:pt idx="38">
                  <c:v>49.3</c:v>
                </c:pt>
                <c:pt idx="39">
                  <c:v>57.0</c:v>
                </c:pt>
                <c:pt idx="40">
                  <c:v>89.44999999999998</c:v>
                </c:pt>
                <c:pt idx="41">
                  <c:v>38.6</c:v>
                </c:pt>
                <c:pt idx="42">
                  <c:v>58.65000000000001</c:v>
                </c:pt>
                <c:pt idx="43">
                  <c:v>46.75</c:v>
                </c:pt>
                <c:pt idx="44">
                  <c:v>55.65000000000001</c:v>
                </c:pt>
                <c:pt idx="45">
                  <c:v>102.55</c:v>
                </c:pt>
                <c:pt idx="46">
                  <c:v>58.40000000000001</c:v>
                </c:pt>
                <c:pt idx="47">
                  <c:v>101.9</c:v>
                </c:pt>
                <c:pt idx="48">
                  <c:v>59.3</c:v>
                </c:pt>
                <c:pt idx="49">
                  <c:v>96.9</c:v>
                </c:pt>
                <c:pt idx="50">
                  <c:v>83.5</c:v>
                </c:pt>
                <c:pt idx="51">
                  <c:v>65.8</c:v>
                </c:pt>
                <c:pt idx="52">
                  <c:v>69.75</c:v>
                </c:pt>
                <c:pt idx="53">
                  <c:v>65.65000000000001</c:v>
                </c:pt>
                <c:pt idx="54">
                  <c:v>57.2</c:v>
                </c:pt>
                <c:pt idx="55">
                  <c:v>74.55</c:v>
                </c:pt>
                <c:pt idx="56">
                  <c:v>51.0</c:v>
                </c:pt>
                <c:pt idx="57">
                  <c:v>80.5</c:v>
                </c:pt>
                <c:pt idx="58">
                  <c:v>53.0</c:v>
                </c:pt>
                <c:pt idx="59">
                  <c:v>46.05</c:v>
                </c:pt>
                <c:pt idx="60">
                  <c:v>66.0</c:v>
                </c:pt>
                <c:pt idx="61">
                  <c:v>75.1</c:v>
                </c:pt>
                <c:pt idx="62">
                  <c:v>78.55</c:v>
                </c:pt>
                <c:pt idx="63">
                  <c:v>34.8</c:v>
                </c:pt>
                <c:pt idx="64">
                  <c:v>46.8</c:v>
                </c:pt>
                <c:pt idx="65">
                  <c:v>45.95</c:v>
                </c:pt>
                <c:pt idx="66">
                  <c:v>54.5</c:v>
                </c:pt>
                <c:pt idx="67">
                  <c:v>43.2</c:v>
                </c:pt>
                <c:pt idx="68">
                  <c:v>53.6</c:v>
                </c:pt>
                <c:pt idx="69">
                  <c:v>55.2</c:v>
                </c:pt>
                <c:pt idx="70">
                  <c:v>25.1</c:v>
                </c:pt>
                <c:pt idx="71">
                  <c:v>29.8</c:v>
                </c:pt>
                <c:pt idx="72">
                  <c:v>32.15000000000001</c:v>
                </c:pt>
                <c:pt idx="73">
                  <c:v>61.9</c:v>
                </c:pt>
                <c:pt idx="74">
                  <c:v>66.55</c:v>
                </c:pt>
                <c:pt idx="75">
                  <c:v>47.6</c:v>
                </c:pt>
                <c:pt idx="76">
                  <c:v>49.75</c:v>
                </c:pt>
                <c:pt idx="77">
                  <c:v>56.4</c:v>
                </c:pt>
                <c:pt idx="78">
                  <c:v>33.8</c:v>
                </c:pt>
                <c:pt idx="79">
                  <c:v>49.15000000000001</c:v>
                </c:pt>
                <c:pt idx="80">
                  <c:v>34.3</c:v>
                </c:pt>
                <c:pt idx="81">
                  <c:v>32.9</c:v>
                </c:pt>
                <c:pt idx="82">
                  <c:v>57.0</c:v>
                </c:pt>
                <c:pt idx="83">
                  <c:v>43.9</c:v>
                </c:pt>
                <c:pt idx="84">
                  <c:v>85.80000000000001</c:v>
                </c:pt>
                <c:pt idx="85">
                  <c:v>61.45</c:v>
                </c:pt>
                <c:pt idx="86">
                  <c:v>98.4</c:v>
                </c:pt>
                <c:pt idx="87">
                  <c:v>124.2</c:v>
                </c:pt>
                <c:pt idx="88">
                  <c:v>45.8</c:v>
                </c:pt>
                <c:pt idx="89">
                  <c:v>44.75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4787832"/>
        <c:axId val="2074793832"/>
      </c:scatterChart>
      <c:valAx>
        <c:axId val="2074787832"/>
        <c:scaling>
          <c:orientation val="minMax"/>
          <c:max val="500.0"/>
        </c:scaling>
        <c:delete val="0"/>
        <c:axPos val="b"/>
        <c:title>
          <c:tx>
            <c:rich>
              <a:bodyPr/>
              <a:lstStyle/>
              <a:p>
                <a:pPr>
                  <a:defRPr sz="12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pre DNase [RNA] ng/ul</a:t>
                </a:r>
              </a:p>
            </c:rich>
          </c:tx>
          <c:layout>
            <c:manualLayout>
              <c:xMode val="edge"/>
              <c:yMode val="edge"/>
              <c:x val="0.439883262141252"/>
              <c:y val="0.8910274978581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74793832"/>
        <c:crosses val="autoZero"/>
        <c:crossBetween val="midCat"/>
      </c:valAx>
      <c:valAx>
        <c:axId val="2074793832"/>
        <c:scaling>
          <c:orientation val="minMax"/>
          <c:max val="150.0"/>
        </c:scaling>
        <c:delete val="0"/>
        <c:axPos val="l"/>
        <c:title>
          <c:tx>
            <c:rich>
              <a:bodyPr/>
              <a:lstStyle/>
              <a:p>
                <a:pPr>
                  <a:defRPr sz="12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post DNase [RNA] ng/ul</a:t>
                </a:r>
              </a:p>
            </c:rich>
          </c:tx>
          <c:layout>
            <c:manualLayout>
              <c:xMode val="edge"/>
              <c:yMode val="edge"/>
              <c:x val="0.0190615511296382"/>
              <c:y val="0.2243594712578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74787832"/>
        <c:crosses val="autoZero"/>
        <c:crossBetween val="midCat"/>
        <c:majorUnit val="30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control</c:v>
          </c:tx>
          <c:spPr>
            <a:ln>
              <a:noFill/>
            </a:ln>
            <a:effectLst/>
          </c:spPr>
          <c:marker>
            <c:symbol val="square"/>
            <c:size val="9"/>
            <c:spPr>
              <a:noFill/>
              <a:ln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qPCRs'!$EV$34:$EV$37</c:f>
                <c:numCache>
                  <c:formatCode>General</c:formatCode>
                  <c:ptCount val="4"/>
                  <c:pt idx="0">
                    <c:v>418.791667607868</c:v>
                  </c:pt>
                  <c:pt idx="1">
                    <c:v>201.6139754284582</c:v>
                  </c:pt>
                  <c:pt idx="2">
                    <c:v>58.87837698370187</c:v>
                  </c:pt>
                  <c:pt idx="3">
                    <c:v>44.83509317620654</c:v>
                  </c:pt>
                </c:numCache>
              </c:numRef>
            </c:plus>
            <c:minus>
              <c:numRef>
                <c:f>'2012 qPCRs'!$EV$34:$EV$37</c:f>
                <c:numCache>
                  <c:formatCode>General</c:formatCode>
                  <c:ptCount val="4"/>
                  <c:pt idx="0">
                    <c:v>418.791667607868</c:v>
                  </c:pt>
                  <c:pt idx="1">
                    <c:v>201.6139754284582</c:v>
                  </c:pt>
                  <c:pt idx="2">
                    <c:v>58.87837698370187</c:v>
                  </c:pt>
                  <c:pt idx="3">
                    <c:v>44.83509317620654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cat>
            <c:numRef>
              <c:f>'2012 qPCRs'!$ES$34:$ES$37</c:f>
              <c:numCache>
                <c:formatCode>General</c:formatCode>
                <c:ptCount val="4"/>
                <c:pt idx="0">
                  <c:v>6.0</c:v>
                </c:pt>
                <c:pt idx="1">
                  <c:v>12.0</c:v>
                </c:pt>
                <c:pt idx="2">
                  <c:v>24.0</c:v>
                </c:pt>
                <c:pt idx="3">
                  <c:v>48.0</c:v>
                </c:pt>
              </c:numCache>
            </c:numRef>
          </c:cat>
          <c:val>
            <c:numRef>
              <c:f>'2012 qPCRs'!$ET$34:$ET$37</c:f>
              <c:numCache>
                <c:formatCode>General</c:formatCode>
                <c:ptCount val="4"/>
                <c:pt idx="0">
                  <c:v>1552.063102663668</c:v>
                </c:pt>
                <c:pt idx="1">
                  <c:v>657.7361525112618</c:v>
                </c:pt>
                <c:pt idx="2">
                  <c:v>343.3804276939194</c:v>
                </c:pt>
                <c:pt idx="3">
                  <c:v>507.2880900452433</c:v>
                </c:pt>
              </c:numCache>
            </c:numRef>
          </c:val>
          <c:smooth val="0"/>
        </c:ser>
        <c:ser>
          <c:idx val="1"/>
          <c:order val="1"/>
          <c:spPr>
            <a:ln>
              <a:noFill/>
            </a:ln>
            <a:effectLst/>
          </c:spPr>
          <c:marker>
            <c:symbol val="diamond"/>
            <c:size val="9"/>
            <c:spPr>
              <a:solidFill>
                <a:schemeClr val="tx1"/>
              </a:solidFill>
              <a:ln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'2012 qPCRs'!$EY$34:$EY$37</c:f>
                <c:numCache>
                  <c:formatCode>General</c:formatCode>
                  <c:ptCount val="4"/>
                  <c:pt idx="0">
                    <c:v>125.4869080634985</c:v>
                  </c:pt>
                  <c:pt idx="1">
                    <c:v>218.1958388020045</c:v>
                  </c:pt>
                  <c:pt idx="2">
                    <c:v>294.3504543479545</c:v>
                  </c:pt>
                  <c:pt idx="3">
                    <c:v>347.8291477325432</c:v>
                  </c:pt>
                </c:numCache>
              </c:numRef>
            </c:plus>
            <c:minus>
              <c:numRef>
                <c:f>'2012 qPCRs'!$EY$34:$EY$37</c:f>
                <c:numCache>
                  <c:formatCode>General</c:formatCode>
                  <c:ptCount val="4"/>
                  <c:pt idx="0">
                    <c:v>125.4869080634985</c:v>
                  </c:pt>
                  <c:pt idx="1">
                    <c:v>218.1958388020045</c:v>
                  </c:pt>
                  <c:pt idx="2">
                    <c:v>294.3504543479545</c:v>
                  </c:pt>
                  <c:pt idx="3">
                    <c:v>347.8291477325432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val>
            <c:numRef>
              <c:f>'2012 qPCRs'!$EW$34:$EW$37</c:f>
              <c:numCache>
                <c:formatCode>General</c:formatCode>
                <c:ptCount val="4"/>
                <c:pt idx="0">
                  <c:v>1869.545008973625</c:v>
                </c:pt>
                <c:pt idx="1">
                  <c:v>555.4203333943676</c:v>
                </c:pt>
                <c:pt idx="2">
                  <c:v>989.189256656923</c:v>
                </c:pt>
                <c:pt idx="3">
                  <c:v>748.0543553869097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553832"/>
        <c:axId val="2077557144"/>
      </c:lineChart>
      <c:catAx>
        <c:axId val="2077553832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2700">
            <a:solidFill>
              <a:schemeClr val="tx1"/>
            </a:solidFill>
          </a:ln>
        </c:spPr>
        <c:crossAx val="2077557144"/>
        <c:crosses val="autoZero"/>
        <c:auto val="1"/>
        <c:lblAlgn val="ctr"/>
        <c:lblOffset val="100"/>
        <c:noMultiLvlLbl val="0"/>
      </c:catAx>
      <c:valAx>
        <c:axId val="2077557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077553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1"/>
            <c:plus>
              <c:numRef>
                <c:f>Sheet1!$K$71:$K$84</c:f>
                <c:numCache>
                  <c:formatCode>General</c:formatCode>
                  <c:ptCount val="14"/>
                  <c:pt idx="0">
                    <c:v>0.02</c:v>
                  </c:pt>
                  <c:pt idx="1">
                    <c:v>0.08</c:v>
                  </c:pt>
                  <c:pt idx="2">
                    <c:v>0.27</c:v>
                  </c:pt>
                  <c:pt idx="3">
                    <c:v>0.33</c:v>
                  </c:pt>
                  <c:pt idx="4">
                    <c:v>0.09</c:v>
                  </c:pt>
                  <c:pt idx="5">
                    <c:v>1.93</c:v>
                  </c:pt>
                  <c:pt idx="6">
                    <c:v>0.02</c:v>
                  </c:pt>
                  <c:pt idx="7">
                    <c:v>0.15</c:v>
                  </c:pt>
                  <c:pt idx="8">
                    <c:v>0.32</c:v>
                  </c:pt>
                  <c:pt idx="9">
                    <c:v>0.83</c:v>
                  </c:pt>
                  <c:pt idx="10">
                    <c:v>0.18</c:v>
                  </c:pt>
                  <c:pt idx="11">
                    <c:v>0.1</c:v>
                  </c:pt>
                  <c:pt idx="12">
                    <c:v>0.1</c:v>
                  </c:pt>
                  <c:pt idx="13">
                    <c:v>0.6</c:v>
                  </c:pt>
                </c:numCache>
              </c:numRef>
            </c:plus>
            <c:minus>
              <c:numRef>
                <c:f>Sheet1!$K$71:$K$84</c:f>
                <c:numCache>
                  <c:formatCode>General</c:formatCode>
                  <c:ptCount val="14"/>
                  <c:pt idx="0">
                    <c:v>0.02</c:v>
                  </c:pt>
                  <c:pt idx="1">
                    <c:v>0.08</c:v>
                  </c:pt>
                  <c:pt idx="2">
                    <c:v>0.27</c:v>
                  </c:pt>
                  <c:pt idx="3">
                    <c:v>0.33</c:v>
                  </c:pt>
                  <c:pt idx="4">
                    <c:v>0.09</c:v>
                  </c:pt>
                  <c:pt idx="5">
                    <c:v>1.93</c:v>
                  </c:pt>
                  <c:pt idx="6">
                    <c:v>0.02</c:v>
                  </c:pt>
                  <c:pt idx="7">
                    <c:v>0.15</c:v>
                  </c:pt>
                  <c:pt idx="8">
                    <c:v>0.32</c:v>
                  </c:pt>
                  <c:pt idx="9">
                    <c:v>0.83</c:v>
                  </c:pt>
                  <c:pt idx="10">
                    <c:v>0.18</c:v>
                  </c:pt>
                  <c:pt idx="11">
                    <c:v>0.1</c:v>
                  </c:pt>
                  <c:pt idx="12">
                    <c:v>0.1</c:v>
                  </c:pt>
                  <c:pt idx="13">
                    <c:v>0.6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cat>
            <c:strRef>
              <c:f>Sheet1!$H$71:$H$84</c:f>
              <c:strCache>
                <c:ptCount val="14"/>
                <c:pt idx="0">
                  <c:v>rbcL</c:v>
                </c:pt>
                <c:pt idx="1">
                  <c:v>psI</c:v>
                </c:pt>
                <c:pt idx="2">
                  <c:v>pgpase</c:v>
                </c:pt>
                <c:pt idx="3">
                  <c:v>nrt2</c:v>
                </c:pt>
                <c:pt idx="4">
                  <c:v>apx1</c:v>
                </c:pt>
                <c:pt idx="5">
                  <c:v>hsp70</c:v>
                </c:pt>
                <c:pt idx="6">
                  <c:v>actb</c:v>
                </c:pt>
                <c:pt idx="7">
                  <c:v>trp1</c:v>
                </c:pt>
                <c:pt idx="8">
                  <c:v>tuba </c:v>
                </c:pt>
                <c:pt idx="9">
                  <c:v>ezrin</c:v>
                </c:pt>
                <c:pt idx="10">
                  <c:v>cplap2</c:v>
                </c:pt>
                <c:pt idx="11">
                  <c:v>oatp</c:v>
                </c:pt>
                <c:pt idx="12">
                  <c:v>trcc</c:v>
                </c:pt>
                <c:pt idx="13">
                  <c:v>hsp70</c:v>
                </c:pt>
              </c:strCache>
            </c:strRef>
          </c:cat>
          <c:val>
            <c:numRef>
              <c:f>Sheet1!$I$71:$I$84</c:f>
              <c:numCache>
                <c:formatCode>General</c:formatCode>
                <c:ptCount val="14"/>
                <c:pt idx="0">
                  <c:v>0.8</c:v>
                </c:pt>
                <c:pt idx="1">
                  <c:v>0.37</c:v>
                </c:pt>
                <c:pt idx="2">
                  <c:v>0.5</c:v>
                </c:pt>
                <c:pt idx="3">
                  <c:v>0.52</c:v>
                </c:pt>
                <c:pt idx="4">
                  <c:v>0.79</c:v>
                </c:pt>
                <c:pt idx="5">
                  <c:v>2.85</c:v>
                </c:pt>
                <c:pt idx="6">
                  <c:v>0.53</c:v>
                </c:pt>
                <c:pt idx="7">
                  <c:v>0.33</c:v>
                </c:pt>
                <c:pt idx="8">
                  <c:v>1.43</c:v>
                </c:pt>
                <c:pt idx="9">
                  <c:v>1.84</c:v>
                </c:pt>
                <c:pt idx="10">
                  <c:v>0.55</c:v>
                </c:pt>
                <c:pt idx="11">
                  <c:v>0.33</c:v>
                </c:pt>
                <c:pt idx="12">
                  <c:v>0.34</c:v>
                </c:pt>
                <c:pt idx="13">
                  <c:v>1.57</c:v>
                </c:pt>
              </c:numCache>
            </c:numRef>
          </c:val>
        </c:ser>
        <c:ser>
          <c:idx val="1"/>
          <c:order val="1"/>
          <c:spPr>
            <a:solidFill>
              <a:schemeClr val="tx1"/>
            </a:solidFill>
            <a:ln w="12700">
              <a:noFill/>
            </a:ln>
            <a:effectLst/>
          </c:spPr>
          <c:invertIfNegative val="0"/>
          <c:errBars>
            <c:errBarType val="both"/>
            <c:errValType val="cust"/>
            <c:noEndCap val="1"/>
            <c:plus>
              <c:numRef>
                <c:f>Sheet1!$L$71:$L$84</c:f>
                <c:numCache>
                  <c:formatCode>General</c:formatCode>
                  <c:ptCount val="14"/>
                  <c:pt idx="0">
                    <c:v>1.88</c:v>
                  </c:pt>
                  <c:pt idx="1">
                    <c:v>0.53</c:v>
                  </c:pt>
                  <c:pt idx="2">
                    <c:v>0.19</c:v>
                  </c:pt>
                  <c:pt idx="3">
                    <c:v>0.31</c:v>
                  </c:pt>
                  <c:pt idx="4">
                    <c:v>0.3</c:v>
                  </c:pt>
                  <c:pt idx="5">
                    <c:v>0.42</c:v>
                  </c:pt>
                  <c:pt idx="6">
                    <c:v>0.25</c:v>
                  </c:pt>
                  <c:pt idx="7">
                    <c:v>1.9</c:v>
                  </c:pt>
                  <c:pt idx="8">
                    <c:v>0.11</c:v>
                  </c:pt>
                  <c:pt idx="9">
                    <c:v>2.1</c:v>
                  </c:pt>
                  <c:pt idx="10">
                    <c:v>2.3</c:v>
                  </c:pt>
                  <c:pt idx="11">
                    <c:v>1.84</c:v>
                  </c:pt>
                  <c:pt idx="12">
                    <c:v>0.12</c:v>
                  </c:pt>
                  <c:pt idx="13">
                    <c:v>0.3</c:v>
                  </c:pt>
                </c:numCache>
              </c:numRef>
            </c:plus>
            <c:minus>
              <c:numRef>
                <c:f>Sheet1!$L$71:$L$84</c:f>
                <c:numCache>
                  <c:formatCode>General</c:formatCode>
                  <c:ptCount val="14"/>
                  <c:pt idx="0">
                    <c:v>1.88</c:v>
                  </c:pt>
                  <c:pt idx="1">
                    <c:v>0.53</c:v>
                  </c:pt>
                  <c:pt idx="2">
                    <c:v>0.19</c:v>
                  </c:pt>
                  <c:pt idx="3">
                    <c:v>0.31</c:v>
                  </c:pt>
                  <c:pt idx="4">
                    <c:v>0.3</c:v>
                  </c:pt>
                  <c:pt idx="5">
                    <c:v>0.42</c:v>
                  </c:pt>
                  <c:pt idx="6">
                    <c:v>0.25</c:v>
                  </c:pt>
                  <c:pt idx="7">
                    <c:v>1.9</c:v>
                  </c:pt>
                  <c:pt idx="8">
                    <c:v>0.11</c:v>
                  </c:pt>
                  <c:pt idx="9">
                    <c:v>2.1</c:v>
                  </c:pt>
                  <c:pt idx="10">
                    <c:v>2.3</c:v>
                  </c:pt>
                  <c:pt idx="11">
                    <c:v>1.84</c:v>
                  </c:pt>
                  <c:pt idx="12">
                    <c:v>0.12</c:v>
                  </c:pt>
                  <c:pt idx="13">
                    <c:v>0.3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cat>
            <c:strRef>
              <c:f>Sheet1!$H$71:$H$84</c:f>
              <c:strCache>
                <c:ptCount val="14"/>
                <c:pt idx="0">
                  <c:v>rbcL</c:v>
                </c:pt>
                <c:pt idx="1">
                  <c:v>psI</c:v>
                </c:pt>
                <c:pt idx="2">
                  <c:v>pgpase</c:v>
                </c:pt>
                <c:pt idx="3">
                  <c:v>nrt2</c:v>
                </c:pt>
                <c:pt idx="4">
                  <c:v>apx1</c:v>
                </c:pt>
                <c:pt idx="5">
                  <c:v>hsp70</c:v>
                </c:pt>
                <c:pt idx="6">
                  <c:v>actb</c:v>
                </c:pt>
                <c:pt idx="7">
                  <c:v>trp1</c:v>
                </c:pt>
                <c:pt idx="8">
                  <c:v>tuba </c:v>
                </c:pt>
                <c:pt idx="9">
                  <c:v>ezrin</c:v>
                </c:pt>
                <c:pt idx="10">
                  <c:v>cplap2</c:v>
                </c:pt>
                <c:pt idx="11">
                  <c:v>oatp</c:v>
                </c:pt>
                <c:pt idx="12">
                  <c:v>trcc</c:v>
                </c:pt>
                <c:pt idx="13">
                  <c:v>hsp70</c:v>
                </c:pt>
              </c:strCache>
            </c:strRef>
          </c:cat>
          <c:val>
            <c:numRef>
              <c:f>Sheet1!$J$71:$J$84</c:f>
              <c:numCache>
                <c:formatCode>General</c:formatCode>
                <c:ptCount val="14"/>
                <c:pt idx="0">
                  <c:v>2.56</c:v>
                </c:pt>
                <c:pt idx="1">
                  <c:v>1.2</c:v>
                </c:pt>
                <c:pt idx="2">
                  <c:v>0.88</c:v>
                </c:pt>
                <c:pt idx="3">
                  <c:v>0.91</c:v>
                </c:pt>
                <c:pt idx="4">
                  <c:v>0.95</c:v>
                </c:pt>
                <c:pt idx="5">
                  <c:v>1.13</c:v>
                </c:pt>
                <c:pt idx="6">
                  <c:v>0.53</c:v>
                </c:pt>
                <c:pt idx="7">
                  <c:v>2.14</c:v>
                </c:pt>
                <c:pt idx="8">
                  <c:v>0.72</c:v>
                </c:pt>
                <c:pt idx="9">
                  <c:v>3.03</c:v>
                </c:pt>
                <c:pt idx="10">
                  <c:v>3.27</c:v>
                </c:pt>
                <c:pt idx="11">
                  <c:v>2.74</c:v>
                </c:pt>
                <c:pt idx="12">
                  <c:v>0.98</c:v>
                </c:pt>
                <c:pt idx="13">
                  <c:v>0.53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7694680"/>
        <c:axId val="2077697928"/>
      </c:barChart>
      <c:barChart>
        <c:barDir val="bar"/>
        <c:grouping val="clustered"/>
        <c:varyColors val="0"/>
        <c:ser>
          <c:idx val="2"/>
          <c:order val="2"/>
          <c:tx>
            <c:v>HBH</c:v>
          </c:tx>
          <c:spPr>
            <a:pattFill prst="pct10">
              <a:fgClr>
                <a:prstClr val="black"/>
              </a:fgClr>
              <a:bgClr>
                <a:prstClr val="white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1"/>
            <c:plus>
              <c:numRef>
                <c:f>Sheet1!$K$86:$K$99</c:f>
                <c:numCache>
                  <c:formatCode>General</c:formatCode>
                  <c:ptCount val="14"/>
                  <c:pt idx="0">
                    <c:v>1.8</c:v>
                  </c:pt>
                  <c:pt idx="1">
                    <c:v>0.41</c:v>
                  </c:pt>
                  <c:pt idx="2">
                    <c:v>0.06</c:v>
                  </c:pt>
                  <c:pt idx="3">
                    <c:v>0.18</c:v>
                  </c:pt>
                  <c:pt idx="4">
                    <c:v>0.16</c:v>
                  </c:pt>
                  <c:pt idx="5">
                    <c:v>1.8</c:v>
                  </c:pt>
                  <c:pt idx="6">
                    <c:v>0.19</c:v>
                  </c:pt>
                  <c:pt idx="7">
                    <c:v>1.2</c:v>
                  </c:pt>
                  <c:pt idx="8">
                    <c:v>0.33</c:v>
                  </c:pt>
                  <c:pt idx="9">
                    <c:v>2.1</c:v>
                  </c:pt>
                  <c:pt idx="10">
                    <c:v>2.3</c:v>
                  </c:pt>
                  <c:pt idx="11">
                    <c:v>1.8</c:v>
                  </c:pt>
                  <c:pt idx="12">
                    <c:v>0.04</c:v>
                  </c:pt>
                  <c:pt idx="13">
                    <c:v>0.54</c:v>
                  </c:pt>
                </c:numCache>
              </c:numRef>
            </c:plus>
            <c:minus>
              <c:numRef>
                <c:f>Sheet1!$K$86:$K$99</c:f>
                <c:numCache>
                  <c:formatCode>General</c:formatCode>
                  <c:ptCount val="14"/>
                  <c:pt idx="0">
                    <c:v>1.8</c:v>
                  </c:pt>
                  <c:pt idx="1">
                    <c:v>0.41</c:v>
                  </c:pt>
                  <c:pt idx="2">
                    <c:v>0.06</c:v>
                  </c:pt>
                  <c:pt idx="3">
                    <c:v>0.18</c:v>
                  </c:pt>
                  <c:pt idx="4">
                    <c:v>0.16</c:v>
                  </c:pt>
                  <c:pt idx="5">
                    <c:v>1.8</c:v>
                  </c:pt>
                  <c:pt idx="6">
                    <c:v>0.19</c:v>
                  </c:pt>
                  <c:pt idx="7">
                    <c:v>1.2</c:v>
                  </c:pt>
                  <c:pt idx="8">
                    <c:v>0.33</c:v>
                  </c:pt>
                  <c:pt idx="9">
                    <c:v>2.1</c:v>
                  </c:pt>
                  <c:pt idx="10">
                    <c:v>2.3</c:v>
                  </c:pt>
                  <c:pt idx="11">
                    <c:v>1.8</c:v>
                  </c:pt>
                  <c:pt idx="12">
                    <c:v>0.04</c:v>
                  </c:pt>
                  <c:pt idx="13">
                    <c:v>0.54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val>
            <c:numRef>
              <c:f>Sheet1!$I$86:$I$99</c:f>
              <c:numCache>
                <c:formatCode>General</c:formatCode>
                <c:ptCount val="14"/>
                <c:pt idx="0">
                  <c:v>2.4</c:v>
                </c:pt>
                <c:pt idx="1">
                  <c:v>1.1</c:v>
                </c:pt>
                <c:pt idx="2">
                  <c:v>0.81</c:v>
                </c:pt>
                <c:pt idx="3">
                  <c:v>0.82</c:v>
                </c:pt>
                <c:pt idx="4">
                  <c:v>0.89</c:v>
                </c:pt>
                <c:pt idx="5">
                  <c:v>2.3</c:v>
                </c:pt>
                <c:pt idx="6">
                  <c:v>0.54</c:v>
                </c:pt>
                <c:pt idx="7">
                  <c:v>2.0</c:v>
                </c:pt>
                <c:pt idx="8">
                  <c:v>1.1</c:v>
                </c:pt>
                <c:pt idx="9">
                  <c:v>2.9</c:v>
                </c:pt>
                <c:pt idx="10">
                  <c:v>3.1</c:v>
                </c:pt>
                <c:pt idx="11">
                  <c:v>2.6</c:v>
                </c:pt>
                <c:pt idx="12">
                  <c:v>0.86</c:v>
                </c:pt>
                <c:pt idx="13">
                  <c:v>1.1</c:v>
                </c:pt>
              </c:numCache>
            </c:numRef>
          </c:val>
        </c:ser>
        <c:ser>
          <c:idx val="3"/>
          <c:order val="3"/>
          <c:tx>
            <c:v>HWN</c:v>
          </c:tx>
          <c:spPr>
            <a:pattFill prst="dkUpDiag">
              <a:fgClr>
                <a:prstClr val="black"/>
              </a:fgClr>
              <a:bgClr>
                <a:prstClr val="white"/>
              </a:bgClr>
            </a:patt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1"/>
            <c:plus>
              <c:numRef>
                <c:f>Sheet1!$L$86:$L$99</c:f>
                <c:numCache>
                  <c:formatCode>General</c:formatCode>
                  <c:ptCount val="14"/>
                  <c:pt idx="0">
                    <c:v>0.27</c:v>
                  </c:pt>
                  <c:pt idx="1">
                    <c:v>0.15</c:v>
                  </c:pt>
                  <c:pt idx="2">
                    <c:v>0.26</c:v>
                  </c:pt>
                  <c:pt idx="3">
                    <c:v>0.08</c:v>
                  </c:pt>
                  <c:pt idx="4">
                    <c:v>0.16</c:v>
                  </c:pt>
                  <c:pt idx="5">
                    <c:v>2.2</c:v>
                  </c:pt>
                  <c:pt idx="6">
                    <c:v>0.004</c:v>
                  </c:pt>
                  <c:pt idx="7">
                    <c:v>0.15</c:v>
                  </c:pt>
                  <c:pt idx="8">
                    <c:v>0.28</c:v>
                  </c:pt>
                  <c:pt idx="9">
                    <c:v>0.92</c:v>
                  </c:pt>
                  <c:pt idx="10">
                    <c:v>0.19</c:v>
                  </c:pt>
                  <c:pt idx="11">
                    <c:v>0.23</c:v>
                  </c:pt>
                  <c:pt idx="12">
                    <c:v>0.1</c:v>
                  </c:pt>
                  <c:pt idx="13">
                    <c:v>0.62</c:v>
                  </c:pt>
                </c:numCache>
              </c:numRef>
            </c:plus>
            <c:minus>
              <c:numRef>
                <c:f>Sheet1!$L$86:$L$99</c:f>
                <c:numCache>
                  <c:formatCode>General</c:formatCode>
                  <c:ptCount val="14"/>
                  <c:pt idx="0">
                    <c:v>0.27</c:v>
                  </c:pt>
                  <c:pt idx="1">
                    <c:v>0.15</c:v>
                  </c:pt>
                  <c:pt idx="2">
                    <c:v>0.26</c:v>
                  </c:pt>
                  <c:pt idx="3">
                    <c:v>0.08</c:v>
                  </c:pt>
                  <c:pt idx="4">
                    <c:v>0.16</c:v>
                  </c:pt>
                  <c:pt idx="5">
                    <c:v>2.2</c:v>
                  </c:pt>
                  <c:pt idx="6">
                    <c:v>0.004</c:v>
                  </c:pt>
                  <c:pt idx="7">
                    <c:v>0.15</c:v>
                  </c:pt>
                  <c:pt idx="8">
                    <c:v>0.28</c:v>
                  </c:pt>
                  <c:pt idx="9">
                    <c:v>0.92</c:v>
                  </c:pt>
                  <c:pt idx="10">
                    <c:v>0.19</c:v>
                  </c:pt>
                  <c:pt idx="11">
                    <c:v>0.23</c:v>
                  </c:pt>
                  <c:pt idx="12">
                    <c:v>0.1</c:v>
                  </c:pt>
                  <c:pt idx="13">
                    <c:v>0.62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val>
            <c:numRef>
              <c:f>Sheet1!$J$86:$J$99</c:f>
              <c:numCache>
                <c:formatCode>General</c:formatCode>
                <c:ptCount val="14"/>
                <c:pt idx="0">
                  <c:v>0.85</c:v>
                </c:pt>
                <c:pt idx="1">
                  <c:v>0.4</c:v>
                </c:pt>
                <c:pt idx="2">
                  <c:v>0.43</c:v>
                </c:pt>
                <c:pt idx="3">
                  <c:v>0.59</c:v>
                </c:pt>
                <c:pt idx="4">
                  <c:v>0.84</c:v>
                </c:pt>
                <c:pt idx="5">
                  <c:v>2.9</c:v>
                </c:pt>
                <c:pt idx="6">
                  <c:v>0.51</c:v>
                </c:pt>
                <c:pt idx="7">
                  <c:v>0.37</c:v>
                </c:pt>
                <c:pt idx="8">
                  <c:v>1.4</c:v>
                </c:pt>
                <c:pt idx="9">
                  <c:v>1.9</c:v>
                </c:pt>
                <c:pt idx="10">
                  <c:v>0.61</c:v>
                </c:pt>
                <c:pt idx="11">
                  <c:v>0.32</c:v>
                </c:pt>
                <c:pt idx="12">
                  <c:v>0.33</c:v>
                </c:pt>
                <c:pt idx="13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7703848"/>
        <c:axId val="2077700856"/>
      </c:barChart>
      <c:catAx>
        <c:axId val="2077694680"/>
        <c:scaling>
          <c:orientation val="minMax"/>
        </c:scaling>
        <c:delete val="0"/>
        <c:axPos val="r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2077697928"/>
        <c:crosses val="autoZero"/>
        <c:auto val="1"/>
        <c:lblAlgn val="ctr"/>
        <c:lblOffset val="100"/>
        <c:noMultiLvlLbl val="0"/>
      </c:catAx>
      <c:valAx>
        <c:axId val="2077697928"/>
        <c:scaling>
          <c:orientation val="maxMin"/>
          <c:max val="10.0"/>
        </c:scaling>
        <c:delete val="1"/>
        <c:axPos val="b"/>
        <c:numFmt formatCode="General" sourceLinked="1"/>
        <c:majorTickMark val="out"/>
        <c:minorTickMark val="none"/>
        <c:tickLblPos val="nextTo"/>
        <c:crossAx val="2077694680"/>
        <c:crosses val="autoZero"/>
        <c:crossBetween val="between"/>
        <c:majorUnit val="2.0"/>
      </c:valAx>
      <c:valAx>
        <c:axId val="2077700856"/>
        <c:scaling>
          <c:orientation val="minMax"/>
          <c:max val="10.0"/>
          <c:min val="0.0"/>
        </c:scaling>
        <c:delete val="0"/>
        <c:axPos val="b"/>
        <c:numFmt formatCode="General" sourceLinked="1"/>
        <c:majorTickMark val="out"/>
        <c:minorTickMark val="none"/>
        <c:tickLblPos val="nextTo"/>
        <c:crossAx val="2077703848"/>
        <c:crosses val="autoZero"/>
        <c:crossBetween val="between"/>
        <c:majorUnit val="2.0"/>
      </c:valAx>
      <c:catAx>
        <c:axId val="2077703848"/>
        <c:scaling>
          <c:orientation val="minMax"/>
        </c:scaling>
        <c:delete val="1"/>
        <c:axPos val="l"/>
        <c:majorTickMark val="out"/>
        <c:minorTickMark val="none"/>
        <c:tickLblPos val="nextTo"/>
        <c:crossAx val="2077700856"/>
        <c:crosses val="autoZero"/>
        <c:auto val="1"/>
        <c:lblAlgn val="ctr"/>
        <c:lblOffset val="100"/>
        <c:noMultiLvlLbl val="0"/>
      </c:catAx>
      <c:spPr>
        <a:noFill/>
        <a:ln w="190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</c:spPr>
          <c:invertIfNegative val="0"/>
          <c:dPt>
            <c:idx val="5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noFill/>
              </a:ln>
            </c:spPr>
          </c:dPt>
          <c:dPt>
            <c:idx val="7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tx1"/>
              </a:solidFill>
              <a:ln w="12700">
                <a:noFill/>
              </a:ln>
            </c:spPr>
          </c:dPt>
          <c:dPt>
            <c:idx val="11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Pt>
            <c:idx val="12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Pt>
            <c:idx val="13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</c:dPt>
          <c:errBars>
            <c:errBarType val="both"/>
            <c:errValType val="cust"/>
            <c:noEndCap val="1"/>
            <c:plus>
              <c:numRef>
                <c:f>Sheet1!$W$114:$W$127</c:f>
                <c:numCache>
                  <c:formatCode>General</c:formatCode>
                  <c:ptCount val="14"/>
                  <c:pt idx="0">
                    <c:v>0.44</c:v>
                  </c:pt>
                  <c:pt idx="1">
                    <c:v>0.43</c:v>
                  </c:pt>
                  <c:pt idx="2">
                    <c:v>0.41</c:v>
                  </c:pt>
                  <c:pt idx="3">
                    <c:v>0.4</c:v>
                  </c:pt>
                  <c:pt idx="4">
                    <c:v>0.4</c:v>
                  </c:pt>
                  <c:pt idx="5">
                    <c:v>0.18</c:v>
                  </c:pt>
                  <c:pt idx="6">
                    <c:v>0.29</c:v>
                  </c:pt>
                  <c:pt idx="7">
                    <c:v>0.25</c:v>
                  </c:pt>
                  <c:pt idx="8">
                    <c:v>0.24</c:v>
                  </c:pt>
                  <c:pt idx="9">
                    <c:v>0.26</c:v>
                  </c:pt>
                  <c:pt idx="10">
                    <c:v>0.24</c:v>
                  </c:pt>
                  <c:pt idx="11">
                    <c:v>0.13</c:v>
                  </c:pt>
                  <c:pt idx="12">
                    <c:v>0.05</c:v>
                  </c:pt>
                  <c:pt idx="13">
                    <c:v>0.09</c:v>
                  </c:pt>
                </c:numCache>
              </c:numRef>
            </c:plus>
            <c:minus>
              <c:numRef>
                <c:f>Sheet1!$W$114:$W$127</c:f>
                <c:numCache>
                  <c:formatCode>General</c:formatCode>
                  <c:ptCount val="14"/>
                  <c:pt idx="0">
                    <c:v>0.44</c:v>
                  </c:pt>
                  <c:pt idx="1">
                    <c:v>0.43</c:v>
                  </c:pt>
                  <c:pt idx="2">
                    <c:v>0.41</c:v>
                  </c:pt>
                  <c:pt idx="3">
                    <c:v>0.4</c:v>
                  </c:pt>
                  <c:pt idx="4">
                    <c:v>0.4</c:v>
                  </c:pt>
                  <c:pt idx="5">
                    <c:v>0.18</c:v>
                  </c:pt>
                  <c:pt idx="6">
                    <c:v>0.29</c:v>
                  </c:pt>
                  <c:pt idx="7">
                    <c:v>0.25</c:v>
                  </c:pt>
                  <c:pt idx="8">
                    <c:v>0.24</c:v>
                  </c:pt>
                  <c:pt idx="9">
                    <c:v>0.26</c:v>
                  </c:pt>
                  <c:pt idx="10">
                    <c:v>0.24</c:v>
                  </c:pt>
                  <c:pt idx="11">
                    <c:v>0.13</c:v>
                  </c:pt>
                  <c:pt idx="12">
                    <c:v>0.05</c:v>
                  </c:pt>
                  <c:pt idx="13">
                    <c:v>0.09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cat>
            <c:strRef>
              <c:f>Sheet1!$U$114:$U$127</c:f>
              <c:strCache>
                <c:ptCount val="14"/>
                <c:pt idx="0">
                  <c:v>trp1</c:v>
                </c:pt>
                <c:pt idx="1">
                  <c:v>oatp</c:v>
                </c:pt>
                <c:pt idx="2">
                  <c:v>ezrin</c:v>
                </c:pt>
                <c:pt idx="3">
                  <c:v>trcc</c:v>
                </c:pt>
                <c:pt idx="4">
                  <c:v>cplap2</c:v>
                </c:pt>
                <c:pt idx="5">
                  <c:v>hsp70z</c:v>
                </c:pt>
                <c:pt idx="6">
                  <c:v>tuba</c:v>
                </c:pt>
                <c:pt idx="7">
                  <c:v>nrt2</c:v>
                </c:pt>
                <c:pt idx="8">
                  <c:v>actb</c:v>
                </c:pt>
                <c:pt idx="9">
                  <c:v>rbcL</c:v>
                </c:pt>
                <c:pt idx="10">
                  <c:v>hsp70h</c:v>
                </c:pt>
                <c:pt idx="11">
                  <c:v>psI</c:v>
                </c:pt>
                <c:pt idx="12">
                  <c:v>pgpase</c:v>
                </c:pt>
                <c:pt idx="13">
                  <c:v>apx1</c:v>
                </c:pt>
              </c:strCache>
            </c:strRef>
          </c:cat>
          <c:val>
            <c:numRef>
              <c:f>Sheet1!$V$114:$V$127</c:f>
              <c:numCache>
                <c:formatCode>General</c:formatCode>
                <c:ptCount val="14"/>
                <c:pt idx="0">
                  <c:v>2.93</c:v>
                </c:pt>
                <c:pt idx="1">
                  <c:v>2.77</c:v>
                </c:pt>
                <c:pt idx="2">
                  <c:v>2.77</c:v>
                </c:pt>
                <c:pt idx="3">
                  <c:v>2.72</c:v>
                </c:pt>
                <c:pt idx="4">
                  <c:v>2.69</c:v>
                </c:pt>
                <c:pt idx="5">
                  <c:v>2.5</c:v>
                </c:pt>
                <c:pt idx="6">
                  <c:v>2.11</c:v>
                </c:pt>
                <c:pt idx="7">
                  <c:v>2.06</c:v>
                </c:pt>
                <c:pt idx="8">
                  <c:v>2.05</c:v>
                </c:pt>
                <c:pt idx="9">
                  <c:v>1.75</c:v>
                </c:pt>
                <c:pt idx="10">
                  <c:v>1.67</c:v>
                </c:pt>
                <c:pt idx="11">
                  <c:v>1.09</c:v>
                </c:pt>
                <c:pt idx="12">
                  <c:v>0.64</c:v>
                </c:pt>
                <c:pt idx="13">
                  <c:v>-0.59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7738728"/>
        <c:axId val="2077741976"/>
      </c:barChart>
      <c:catAx>
        <c:axId val="20777387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2077741976"/>
        <c:crosses val="autoZero"/>
        <c:auto val="1"/>
        <c:lblAlgn val="ctr"/>
        <c:lblOffset val="100"/>
        <c:noMultiLvlLbl val="0"/>
      </c:catAx>
      <c:valAx>
        <c:axId val="2077741976"/>
        <c:scaling>
          <c:orientation val="minMax"/>
          <c:max val="4.0"/>
          <c:min val="-1.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077738728"/>
        <c:crosses val="autoZero"/>
        <c:crossBetween val="between"/>
        <c:majorUnit val="1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 sz="12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control</c:v>
          </c:tx>
          <c:spPr>
            <a:ln w="25400">
              <a:solidFill>
                <a:schemeClr val="tx1"/>
              </a:solidFill>
            </a:ln>
            <a:effectLst/>
          </c:spPr>
          <c:marker>
            <c:symbol val="diamond"/>
            <c:size val="1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'HSP70H DNA'!$V$2:$V$6</c:f>
                <c:numCache>
                  <c:formatCode>General</c:formatCode>
                  <c:ptCount val="5"/>
                  <c:pt idx="0">
                    <c:v>0.00741069616504453</c:v>
                  </c:pt>
                  <c:pt idx="1">
                    <c:v>0.0019979791103391</c:v>
                  </c:pt>
                  <c:pt idx="2">
                    <c:v>0.00835544835974548</c:v>
                  </c:pt>
                  <c:pt idx="3">
                    <c:v>0.00537005616983392</c:v>
                  </c:pt>
                  <c:pt idx="4">
                    <c:v>0.00277379253978101</c:v>
                  </c:pt>
                </c:numCache>
              </c:numRef>
            </c:plus>
            <c:minus>
              <c:numRef>
                <c:f>'HSP70H DNA'!$V$2:$V$6</c:f>
                <c:numCache>
                  <c:formatCode>General</c:formatCode>
                  <c:ptCount val="5"/>
                  <c:pt idx="0">
                    <c:v>0.00741069616504453</c:v>
                  </c:pt>
                  <c:pt idx="1">
                    <c:v>0.0019979791103391</c:v>
                  </c:pt>
                  <c:pt idx="2">
                    <c:v>0.00835544835974548</c:v>
                  </c:pt>
                  <c:pt idx="3">
                    <c:v>0.00537005616983392</c:v>
                  </c:pt>
                  <c:pt idx="4">
                    <c:v>0.00277379253978101</c:v>
                  </c:pt>
                </c:numCache>
              </c:numRef>
            </c:minus>
          </c:errBars>
          <c:cat>
            <c:numRef>
              <c:f>'HSP70H DNA'!$S$2:$S$6</c:f>
              <c:numCache>
                <c:formatCode>General</c:formatCode>
                <c:ptCount val="5"/>
                <c:pt idx="0">
                  <c:v>0.0</c:v>
                </c:pt>
                <c:pt idx="1">
                  <c:v>6.0</c:v>
                </c:pt>
                <c:pt idx="2">
                  <c:v>12.0</c:v>
                </c:pt>
                <c:pt idx="3">
                  <c:v>24.0</c:v>
                </c:pt>
                <c:pt idx="4">
                  <c:v>48.0</c:v>
                </c:pt>
              </c:numCache>
            </c:numRef>
          </c:cat>
          <c:val>
            <c:numRef>
              <c:f>'HSP70H DNA'!$T$2:$T$6</c:f>
              <c:numCache>
                <c:formatCode>General</c:formatCode>
                <c:ptCount val="5"/>
                <c:pt idx="0">
                  <c:v>0.976735527804294</c:v>
                </c:pt>
                <c:pt idx="1">
                  <c:v>0.985299621582545</c:v>
                </c:pt>
                <c:pt idx="2">
                  <c:v>0.959120277116583</c:v>
                </c:pt>
                <c:pt idx="3">
                  <c:v>0.962421263464468</c:v>
                </c:pt>
                <c:pt idx="4">
                  <c:v>0.974019913604466</c:v>
                </c:pt>
              </c:numCache>
            </c:numRef>
          </c:val>
          <c:smooth val="0"/>
        </c:ser>
        <c:ser>
          <c:idx val="1"/>
          <c:order val="1"/>
          <c:tx>
            <c:v>high</c:v>
          </c:tx>
          <c:spPr>
            <a:ln w="25400">
              <a:solidFill>
                <a:schemeClr val="tx1"/>
              </a:solidFill>
            </a:ln>
            <a:effectLst/>
          </c:spPr>
          <c:marker>
            <c:symbol val="square"/>
            <c:size val="10"/>
            <c:spPr>
              <a:solidFill>
                <a:schemeClr val="tx1"/>
              </a:solidFill>
              <a:ln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'HSP70H DNA'!$V$7:$V$11</c:f>
                <c:numCache>
                  <c:formatCode>General</c:formatCode>
                  <c:ptCount val="5"/>
                  <c:pt idx="0">
                    <c:v>0.0106671515530525</c:v>
                  </c:pt>
                  <c:pt idx="1">
                    <c:v>0.00209502192521992</c:v>
                  </c:pt>
                  <c:pt idx="2">
                    <c:v>0.0043090158271793</c:v>
                  </c:pt>
                  <c:pt idx="3">
                    <c:v>0.00705874643764643</c:v>
                  </c:pt>
                  <c:pt idx="4">
                    <c:v>0.00578692352793583</c:v>
                  </c:pt>
                </c:numCache>
              </c:numRef>
            </c:plus>
            <c:minus>
              <c:numRef>
                <c:f>'HSP70H DNA'!$V$7:$V$11</c:f>
                <c:numCache>
                  <c:formatCode>General</c:formatCode>
                  <c:ptCount val="5"/>
                  <c:pt idx="0">
                    <c:v>0.0106671515530525</c:v>
                  </c:pt>
                  <c:pt idx="1">
                    <c:v>0.00209502192521992</c:v>
                  </c:pt>
                  <c:pt idx="2">
                    <c:v>0.0043090158271793</c:v>
                  </c:pt>
                  <c:pt idx="3">
                    <c:v>0.00705874643764643</c:v>
                  </c:pt>
                  <c:pt idx="4">
                    <c:v>0.00578692352793583</c:v>
                  </c:pt>
                </c:numCache>
              </c:numRef>
            </c:minus>
          </c:errBars>
          <c:val>
            <c:numRef>
              <c:f>'HSP70H DNA'!$T$7:$T$11</c:f>
              <c:numCache>
                <c:formatCode>General</c:formatCode>
                <c:ptCount val="5"/>
                <c:pt idx="0">
                  <c:v>0.954791742602123</c:v>
                </c:pt>
                <c:pt idx="1">
                  <c:v>0.984398172666342</c:v>
                </c:pt>
                <c:pt idx="2">
                  <c:v>0.96242061450316</c:v>
                </c:pt>
                <c:pt idx="3">
                  <c:v>0.963995102556946</c:v>
                </c:pt>
                <c:pt idx="4">
                  <c:v>0.967836696533088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4868664"/>
        <c:axId val="2074874392"/>
      </c:lineChart>
      <c:lineChart>
        <c:grouping val="standard"/>
        <c:varyColors val="0"/>
        <c:ser>
          <c:idx val="2"/>
          <c:order val="2"/>
          <c:tx>
            <c:v>Sym control</c:v>
          </c:tx>
          <c:spPr>
            <a:ln w="25400">
              <a:solidFill>
                <a:schemeClr val="tx1"/>
              </a:solidFill>
            </a:ln>
            <a:effectLst/>
          </c:spPr>
          <c:marker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'HSP70H DNA'!$Y$2:$Y$6</c:f>
                <c:numCache>
                  <c:formatCode>General</c:formatCode>
                  <c:ptCount val="5"/>
                  <c:pt idx="0">
                    <c:v>0.00741069616504455</c:v>
                  </c:pt>
                  <c:pt idx="1">
                    <c:v>0.00199797911033909</c:v>
                  </c:pt>
                  <c:pt idx="2">
                    <c:v>0.00835544835974548</c:v>
                  </c:pt>
                  <c:pt idx="3">
                    <c:v>0.00537005616983392</c:v>
                  </c:pt>
                  <c:pt idx="4">
                    <c:v>0.00277379253978101</c:v>
                  </c:pt>
                </c:numCache>
              </c:numRef>
            </c:plus>
            <c:minus>
              <c:numRef>
                <c:f>'HSP70H DNA'!$Y$2:$Y$6</c:f>
                <c:numCache>
                  <c:formatCode>General</c:formatCode>
                  <c:ptCount val="5"/>
                  <c:pt idx="0">
                    <c:v>0.00741069616504455</c:v>
                  </c:pt>
                  <c:pt idx="1">
                    <c:v>0.00199797911033909</c:v>
                  </c:pt>
                  <c:pt idx="2">
                    <c:v>0.00835544835974548</c:v>
                  </c:pt>
                  <c:pt idx="3">
                    <c:v>0.00537005616983392</c:v>
                  </c:pt>
                  <c:pt idx="4">
                    <c:v>0.00277379253978101</c:v>
                  </c:pt>
                </c:numCache>
              </c:numRef>
            </c:minus>
          </c:errBars>
          <c:val>
            <c:numRef>
              <c:f>'HSP70H DNA'!$W$2:$W$6</c:f>
              <c:numCache>
                <c:formatCode>General</c:formatCode>
                <c:ptCount val="5"/>
                <c:pt idx="0">
                  <c:v>0.0232644721957062</c:v>
                </c:pt>
                <c:pt idx="1">
                  <c:v>0.014700378417455</c:v>
                </c:pt>
                <c:pt idx="2">
                  <c:v>0.0408797228834169</c:v>
                </c:pt>
                <c:pt idx="3">
                  <c:v>0.037578736535532</c:v>
                </c:pt>
                <c:pt idx="4">
                  <c:v>0.0259800863955341</c:v>
                </c:pt>
              </c:numCache>
            </c:numRef>
          </c:val>
          <c:smooth val="0"/>
        </c:ser>
        <c:ser>
          <c:idx val="3"/>
          <c:order val="3"/>
          <c:tx>
            <c:v>Sym high</c:v>
          </c:tx>
          <c:spPr>
            <a:ln w="25400">
              <a:solidFill>
                <a:schemeClr val="tx1"/>
              </a:solidFill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'HSP70H DNA'!$Y$7:$Y$11</c:f>
                <c:numCache>
                  <c:formatCode>General</c:formatCode>
                  <c:ptCount val="5"/>
                  <c:pt idx="0">
                    <c:v>0.0106671515530525</c:v>
                  </c:pt>
                  <c:pt idx="1">
                    <c:v>0.00209502192521992</c:v>
                  </c:pt>
                  <c:pt idx="2">
                    <c:v>0.00430901582717929</c:v>
                  </c:pt>
                  <c:pt idx="3">
                    <c:v>0.00705874643764645</c:v>
                  </c:pt>
                  <c:pt idx="4">
                    <c:v>0.00578692352793583</c:v>
                  </c:pt>
                </c:numCache>
              </c:numRef>
            </c:plus>
            <c:minus>
              <c:numRef>
                <c:f>'HSP70H DNA'!$Y$7:$Y$11</c:f>
                <c:numCache>
                  <c:formatCode>General</c:formatCode>
                  <c:ptCount val="5"/>
                  <c:pt idx="0">
                    <c:v>0.0106671515530525</c:v>
                  </c:pt>
                  <c:pt idx="1">
                    <c:v>0.00209502192521992</c:v>
                  </c:pt>
                  <c:pt idx="2">
                    <c:v>0.00430901582717929</c:v>
                  </c:pt>
                  <c:pt idx="3">
                    <c:v>0.00705874643764645</c:v>
                  </c:pt>
                  <c:pt idx="4">
                    <c:v>0.00578692352793583</c:v>
                  </c:pt>
                </c:numCache>
              </c:numRef>
            </c:minus>
          </c:errBars>
          <c:val>
            <c:numRef>
              <c:f>'HSP70H DNA'!$W$7:$W$11</c:f>
              <c:numCache>
                <c:formatCode>General</c:formatCode>
                <c:ptCount val="5"/>
                <c:pt idx="0">
                  <c:v>0.0452082573978771</c:v>
                </c:pt>
                <c:pt idx="1">
                  <c:v>0.0156018273336582</c:v>
                </c:pt>
                <c:pt idx="2">
                  <c:v>0.0375793854968404</c:v>
                </c:pt>
                <c:pt idx="3">
                  <c:v>0.0360048974430542</c:v>
                </c:pt>
                <c:pt idx="4">
                  <c:v>0.0321633034669122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4887080"/>
        <c:axId val="2074880648"/>
      </c:lineChart>
      <c:catAx>
        <c:axId val="2074868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of exposure (hrs)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crossAx val="2074874392"/>
        <c:crosses val="autoZero"/>
        <c:auto val="1"/>
        <c:lblAlgn val="ctr"/>
        <c:lblOffset val="100"/>
        <c:noMultiLvlLbl val="0"/>
      </c:catAx>
      <c:valAx>
        <c:axId val="2074874392"/>
        <c:scaling>
          <c:orientation val="minMax"/>
          <c:min val="0.9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 i="0"/>
                </a:pPr>
                <a:r>
                  <a:rPr lang="en-US" b="0" i="0"/>
                  <a:t>host </a:t>
                </a:r>
                <a:r>
                  <a:rPr lang="en-US" b="0" i="1"/>
                  <a:t>hsp70</a:t>
                </a:r>
                <a:r>
                  <a:rPr lang="en-US" b="0" i="0"/>
                  <a:t> genome copies/</a:t>
                </a:r>
              </a:p>
              <a:p>
                <a:pPr>
                  <a:defRPr b="0" i="0"/>
                </a:pPr>
                <a:r>
                  <a:rPr lang="en-US" b="0" i="0"/>
                  <a:t>total </a:t>
                </a:r>
                <a:r>
                  <a:rPr lang="en-US" b="0" i="1"/>
                  <a:t>hsp70</a:t>
                </a:r>
                <a:r>
                  <a:rPr lang="en-US" b="0" i="0"/>
                  <a:t> genome copies </a:t>
                </a:r>
              </a:p>
            </c:rich>
          </c:tx>
          <c:layout>
            <c:manualLayout>
              <c:xMode val="edge"/>
              <c:yMode val="edge"/>
              <c:x val="0.00588812561334642"/>
              <c:y val="0.20243151360954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2074868664"/>
        <c:crosses val="autoZero"/>
        <c:crossBetween val="between"/>
        <c:majorUnit val="0.02"/>
      </c:valAx>
      <c:valAx>
        <c:axId val="2074880648"/>
        <c:scaling>
          <c:orientation val="minMax"/>
          <c:max val="0.15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b="0" i="0"/>
                </a:pPr>
                <a:r>
                  <a:rPr lang="en-US" b="0" i="1"/>
                  <a:t>Symbiodinium</a:t>
                </a:r>
                <a:r>
                  <a:rPr lang="en-US" b="0" i="0"/>
                  <a:t> </a:t>
                </a:r>
                <a:r>
                  <a:rPr lang="en-US" b="0" i="1"/>
                  <a:t>hsp70</a:t>
                </a:r>
                <a:r>
                  <a:rPr lang="en-US" b="0" i="0"/>
                  <a:t> genome copies/</a:t>
                </a:r>
              </a:p>
              <a:p>
                <a:pPr>
                  <a:defRPr b="0" i="0"/>
                </a:pPr>
                <a:r>
                  <a:rPr lang="en-US" b="0" i="0"/>
                  <a:t>total </a:t>
                </a:r>
                <a:r>
                  <a:rPr lang="en-US" b="0" i="1"/>
                  <a:t>hsp70</a:t>
                </a:r>
                <a:r>
                  <a:rPr lang="en-US" b="0" i="0"/>
                  <a:t> genome copies</a:t>
                </a:r>
              </a:p>
            </c:rich>
          </c:tx>
          <c:layout>
            <c:manualLayout>
              <c:xMode val="edge"/>
              <c:yMode val="edge"/>
              <c:x val="0.916091273674206"/>
              <c:y val="0.06388721952931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2074887080"/>
        <c:crosses val="max"/>
        <c:crossBetween val="between"/>
        <c:majorUnit val="0.03"/>
      </c:valAx>
      <c:catAx>
        <c:axId val="2074887080"/>
        <c:scaling>
          <c:orientation val="minMax"/>
        </c:scaling>
        <c:delete val="1"/>
        <c:axPos val="b"/>
        <c:majorTickMark val="out"/>
        <c:minorTickMark val="none"/>
        <c:tickLblPos val="nextTo"/>
        <c:crossAx val="207488064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 orientation="portrait" horizontalDpi="-4" vertic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'HSP70H DNA'!$Z$13</c:f>
              <c:strCache>
                <c:ptCount val="1"/>
                <c:pt idx="0">
                  <c:v>averge gcr</c:v>
                </c:pt>
              </c:strCache>
            </c:strRef>
          </c:tx>
          <c:spPr>
            <a:ln w="25400">
              <a:solidFill>
                <a:schemeClr val="tx1"/>
              </a:solidFill>
            </a:ln>
            <a:effectLst/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'HSP70H DNA'!$AC$14:$AC$18</c:f>
                <c:numCache>
                  <c:formatCode>General</c:formatCode>
                  <c:ptCount val="5"/>
                  <c:pt idx="0">
                    <c:v>5.855156957728418</c:v>
                  </c:pt>
                  <c:pt idx="1">
                    <c:v>9.17650063461845</c:v>
                  </c:pt>
                  <c:pt idx="2">
                    <c:v>3.569362848285955</c:v>
                  </c:pt>
                  <c:pt idx="3">
                    <c:v>3.682158166129209</c:v>
                  </c:pt>
                  <c:pt idx="4">
                    <c:v>4.823752303594944</c:v>
                  </c:pt>
                </c:numCache>
              </c:numRef>
            </c:plus>
            <c:minus>
              <c:numRef>
                <c:f>'HSP70H DNA'!$AE$14:$AE$18</c:f>
                <c:numCache>
                  <c:formatCode>General</c:formatCode>
                  <c:ptCount val="5"/>
                  <c:pt idx="0">
                    <c:v>4.9</c:v>
                  </c:pt>
                  <c:pt idx="1">
                    <c:v>8.1</c:v>
                  </c:pt>
                  <c:pt idx="2">
                    <c:v>3.2</c:v>
                  </c:pt>
                  <c:pt idx="3">
                    <c:v>3.3</c:v>
                  </c:pt>
                  <c:pt idx="4">
                    <c:v>4.3</c:v>
                  </c:pt>
                </c:numCache>
              </c:numRef>
            </c:minus>
          </c:errBars>
          <c:cat>
            <c:numRef>
              <c:f>'HSP70H DNA'!$Y$14:$Y$18</c:f>
              <c:numCache>
                <c:formatCode>General</c:formatCode>
                <c:ptCount val="5"/>
                <c:pt idx="0">
                  <c:v>0.0</c:v>
                </c:pt>
                <c:pt idx="1">
                  <c:v>6.0</c:v>
                </c:pt>
                <c:pt idx="2">
                  <c:v>12.0</c:v>
                </c:pt>
                <c:pt idx="3">
                  <c:v>24.0</c:v>
                </c:pt>
                <c:pt idx="4">
                  <c:v>48.0</c:v>
                </c:pt>
              </c:numCache>
            </c:numRef>
          </c:cat>
          <c:val>
            <c:numRef>
              <c:f>'HSP70H DNA'!$AB$14:$AB$18</c:f>
              <c:numCache>
                <c:formatCode>General</c:formatCode>
                <c:ptCount val="5"/>
                <c:pt idx="0">
                  <c:v>29.8050393814552</c:v>
                </c:pt>
                <c:pt idx="1">
                  <c:v>70.08827962567308</c:v>
                </c:pt>
                <c:pt idx="2">
                  <c:v>27.26208076010847</c:v>
                </c:pt>
                <c:pt idx="3">
                  <c:v>28.99015250489149</c:v>
                </c:pt>
                <c:pt idx="4">
                  <c:v>36.84285696269723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4826344"/>
        <c:axId val="2074828888"/>
      </c:lineChart>
      <c:catAx>
        <c:axId val="2074826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crossAx val="2074828888"/>
        <c:crosses val="autoZero"/>
        <c:auto val="1"/>
        <c:lblAlgn val="ctr"/>
        <c:lblOffset val="100"/>
        <c:noMultiLvlLbl val="0"/>
      </c:catAx>
      <c:valAx>
        <c:axId val="2074828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2074826344"/>
        <c:crosses val="autoZero"/>
        <c:crossBetween val="between"/>
        <c:majorUnit val="20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control</c:v>
          </c:tx>
          <c:spPr>
            <a:ln w="25400">
              <a:noFill/>
            </a:ln>
            <a:effectLst/>
          </c:spPr>
          <c:marker>
            <c:symbol val="triangle"/>
            <c:size val="1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('hsp70z cDNA'!$W$6,'hsp70z cDNA'!$W$10,'hsp70z cDNA'!$W$7:$W$9)</c:f>
                <c:numCache>
                  <c:formatCode>General</c:formatCode>
                  <c:ptCount val="5"/>
                  <c:pt idx="0">
                    <c:v>3.6</c:v>
                  </c:pt>
                  <c:pt idx="1">
                    <c:v>7.127486350026128</c:v>
                  </c:pt>
                  <c:pt idx="2">
                    <c:v>4.24496187657002</c:v>
                  </c:pt>
                  <c:pt idx="3">
                    <c:v>2.322845873506761</c:v>
                  </c:pt>
                  <c:pt idx="4">
                    <c:v>1.009280499382144</c:v>
                  </c:pt>
                </c:numCache>
              </c:numRef>
            </c:plus>
            <c:minus>
              <c:numRef>
                <c:f>('hsp70z cDNA'!$Y$6,'hsp70z cDNA'!$Y$10,'hsp70z cDNA'!$Y$7:$Y$9)</c:f>
                <c:numCache>
                  <c:formatCode>General</c:formatCode>
                  <c:ptCount val="5"/>
                  <c:pt idx="0">
                    <c:v>2.5</c:v>
                  </c:pt>
                  <c:pt idx="1">
                    <c:v>5.5</c:v>
                  </c:pt>
                  <c:pt idx="2">
                    <c:v>3.3</c:v>
                  </c:pt>
                  <c:pt idx="3">
                    <c:v>1.8</c:v>
                  </c:pt>
                  <c:pt idx="4">
                    <c:v>0.8</c:v>
                  </c:pt>
                </c:numCache>
              </c:numRef>
            </c:minus>
            <c:spPr>
              <a:ln w="19050"/>
            </c:spPr>
          </c:errBars>
          <c:cat>
            <c:numRef>
              <c:f>('hsp70z cDNA'!$C$9,'hsp70z cDNA'!$C$10,'hsp70z cDNA'!$C$29,'hsp70z cDNA'!$C$43,'hsp70z cDNA'!$C$61)</c:f>
              <c:numCache>
                <c:formatCode>General</c:formatCode>
                <c:ptCount val="5"/>
                <c:pt idx="0">
                  <c:v>0.0</c:v>
                </c:pt>
                <c:pt idx="1">
                  <c:v>6.0</c:v>
                </c:pt>
                <c:pt idx="2">
                  <c:v>12.0</c:v>
                </c:pt>
                <c:pt idx="3">
                  <c:v>24.0</c:v>
                </c:pt>
                <c:pt idx="4">
                  <c:v>48.0</c:v>
                </c:pt>
              </c:numCache>
            </c:numRef>
          </c:cat>
          <c:val>
            <c:numRef>
              <c:f>('hsp70z cDNA'!$U$6,'hsp70z cDNA'!$U$10,'hsp70z cDNA'!$U$7,'hsp70z cDNA'!$U$8,'hsp70z cDNA'!$U$9)</c:f>
              <c:numCache>
                <c:formatCode>General</c:formatCode>
                <c:ptCount val="5"/>
                <c:pt idx="0">
                  <c:v>47.72663332878216</c:v>
                </c:pt>
                <c:pt idx="1">
                  <c:v>23.5505741796212</c:v>
                </c:pt>
                <c:pt idx="2">
                  <c:v>14.02616359461144</c:v>
                </c:pt>
                <c:pt idx="3">
                  <c:v>7.675125754768725</c:v>
                </c:pt>
                <c:pt idx="4">
                  <c:v>3.117885052836324</c:v>
                </c:pt>
              </c:numCache>
            </c:numRef>
          </c:val>
          <c:smooth val="0"/>
        </c:ser>
        <c:ser>
          <c:idx val="1"/>
          <c:order val="1"/>
          <c:tx>
            <c:v>high</c:v>
          </c:tx>
          <c:spPr>
            <a:ln w="25400">
              <a:noFill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('hsp70z cDNA'!$W$11,'hsp70z cDNA'!$W$15,'hsp70z cDNA'!$W$12,'hsp70z cDNA'!$W$13,'hsp70z cDNA'!$W$14)</c:f>
                <c:numCache>
                  <c:formatCode>General</c:formatCode>
                  <c:ptCount val="5"/>
                  <c:pt idx="0">
                    <c:v>12.45859427682201</c:v>
                  </c:pt>
                  <c:pt idx="1">
                    <c:v>2.606727191405136</c:v>
                  </c:pt>
                  <c:pt idx="2">
                    <c:v>2.419223999558659</c:v>
                  </c:pt>
                  <c:pt idx="3">
                    <c:v>2.948641865385801</c:v>
                  </c:pt>
                  <c:pt idx="4">
                    <c:v>1.059520056417881</c:v>
                  </c:pt>
                </c:numCache>
              </c:numRef>
            </c:plus>
            <c:minus>
              <c:numRef>
                <c:f>('hsp70z cDNA'!$Y$11,'hsp70z cDNA'!$Y$15,'hsp70z cDNA'!$Y$12,'hsp70z cDNA'!$Y$13,'hsp70z cDNA'!$Y$14)</c:f>
                <c:numCache>
                  <c:formatCode>General</c:formatCode>
                  <c:ptCount val="5"/>
                  <c:pt idx="0">
                    <c:v>9.0</c:v>
                  </c:pt>
                  <c:pt idx="1">
                    <c:v>2.0</c:v>
                  </c:pt>
                  <c:pt idx="2">
                    <c:v>1.8</c:v>
                  </c:pt>
                  <c:pt idx="3">
                    <c:v>2.2</c:v>
                  </c:pt>
                  <c:pt idx="4">
                    <c:v>0.8</c:v>
                  </c:pt>
                </c:numCache>
              </c:numRef>
            </c:minus>
            <c:spPr>
              <a:ln w="19050"/>
            </c:spPr>
          </c:errBars>
          <c:val>
            <c:numRef>
              <c:f>('hsp70z cDNA'!$U$11,'hsp70z cDNA'!$U$15,'hsp70z cDNA'!$U$12,'hsp70z cDNA'!$U$13,'hsp70z cDNA'!$U$14)</c:f>
              <c:numCache>
                <c:formatCode>General</c:formatCode>
                <c:ptCount val="5"/>
                <c:pt idx="0">
                  <c:v>32.58018904853246</c:v>
                </c:pt>
                <c:pt idx="1">
                  <c:v>8.05274227717617</c:v>
                </c:pt>
                <c:pt idx="2">
                  <c:v>7.473504493849236</c:v>
                </c:pt>
                <c:pt idx="3">
                  <c:v>8.43464289108667</c:v>
                </c:pt>
                <c:pt idx="4">
                  <c:v>3.273085875639036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737240"/>
        <c:axId val="2076740552"/>
      </c:lineChart>
      <c:catAx>
        <c:axId val="207673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crossAx val="2076740552"/>
        <c:crosses val="autoZero"/>
        <c:auto val="1"/>
        <c:lblAlgn val="ctr"/>
        <c:lblOffset val="100"/>
        <c:noMultiLvlLbl val="0"/>
      </c:catAx>
      <c:valAx>
        <c:axId val="2076740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2076737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 sz="12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control</c:v>
          </c:tx>
          <c:spPr>
            <a:ln w="0">
              <a:noFill/>
            </a:ln>
            <a:effectLst/>
          </c:spPr>
          <c:marker>
            <c:symbol val="diamond"/>
            <c:size val="1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('hsp70h cDNA'!$AA$4,'hsp70h cDNA'!$AA$8,'hsp70h cDNA'!$AA$5:$AA$7)</c:f>
                <c:numCache>
                  <c:formatCode>General</c:formatCode>
                  <c:ptCount val="5"/>
                  <c:pt idx="0">
                    <c:v>3.6</c:v>
                  </c:pt>
                  <c:pt idx="1">
                    <c:v>2.208882405775229</c:v>
                  </c:pt>
                  <c:pt idx="2">
                    <c:v>1.674297525398401</c:v>
                  </c:pt>
                  <c:pt idx="3">
                    <c:v>0.978481885922359</c:v>
                  </c:pt>
                  <c:pt idx="4">
                    <c:v>0.864423626477299</c:v>
                  </c:pt>
                </c:numCache>
              </c:numRef>
            </c:plus>
            <c:minus>
              <c:numRef>
                <c:f>('hsp70h cDNA'!$AC$4,'hsp70h cDNA'!$AC$8,'hsp70h cDNA'!$AC$5:$AC$7)</c:f>
                <c:numCache>
                  <c:formatCode>General</c:formatCode>
                  <c:ptCount val="5"/>
                  <c:pt idx="0">
                    <c:v>3.2</c:v>
                  </c:pt>
                  <c:pt idx="1">
                    <c:v>1.8</c:v>
                  </c:pt>
                  <c:pt idx="2">
                    <c:v>1.2</c:v>
                  </c:pt>
                  <c:pt idx="3">
                    <c:v>0.8</c:v>
                  </c:pt>
                  <c:pt idx="4">
                    <c:v>0.6</c:v>
                  </c:pt>
                </c:numCache>
              </c:numRef>
            </c:minus>
            <c:spPr>
              <a:ln w="19050"/>
            </c:spPr>
          </c:errBars>
          <c:cat>
            <c:numRef>
              <c:f>('hsp70h cDNA'!$C$7,'hsp70h cDNA'!$C$13,'hsp70h cDNA'!$C$26,'hsp70h cDNA'!$C$42,'hsp70h cDNA'!$C$63)</c:f>
              <c:numCache>
                <c:formatCode>General</c:formatCode>
                <c:ptCount val="5"/>
                <c:pt idx="0">
                  <c:v>0.0</c:v>
                </c:pt>
                <c:pt idx="1">
                  <c:v>6.0</c:v>
                </c:pt>
                <c:pt idx="2">
                  <c:v>12.0</c:v>
                </c:pt>
                <c:pt idx="3">
                  <c:v>24.0</c:v>
                </c:pt>
                <c:pt idx="4">
                  <c:v>48.0</c:v>
                </c:pt>
              </c:numCache>
            </c:numRef>
          </c:cat>
          <c:val>
            <c:numRef>
              <c:f>('hsp70h cDNA'!$Y$4,'hsp70h cDNA'!$Y$8,'hsp70h cDNA'!$Y$5:$Y$7)</c:f>
              <c:numCache>
                <c:formatCode>General</c:formatCode>
                <c:ptCount val="5"/>
                <c:pt idx="0">
                  <c:v>14.10638759818886</c:v>
                </c:pt>
                <c:pt idx="1">
                  <c:v>9.084362553954326</c:v>
                </c:pt>
                <c:pt idx="2">
                  <c:v>4.7766058922739</c:v>
                </c:pt>
                <c:pt idx="3">
                  <c:v>3.760961564963658</c:v>
                </c:pt>
                <c:pt idx="4">
                  <c:v>2.513562680686217</c:v>
                </c:pt>
              </c:numCache>
            </c:numRef>
          </c:val>
          <c:smooth val="0"/>
        </c:ser>
        <c:ser>
          <c:idx val="1"/>
          <c:order val="1"/>
          <c:tx>
            <c:v>high</c:v>
          </c:tx>
          <c:spPr>
            <a:ln>
              <a:noFill/>
            </a:ln>
            <a:effectLst/>
          </c:spPr>
          <c:marker>
            <c:symbol val="square"/>
            <c:size val="10"/>
            <c:spPr>
              <a:solidFill>
                <a:schemeClr val="tx1"/>
              </a:solidFill>
              <a:ln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('hsp70h cDNA'!$AA$9,'hsp70h cDNA'!$AA$13,'hsp70h cDNA'!$AA$10:$AA$12)</c:f>
                <c:numCache>
                  <c:formatCode>General</c:formatCode>
                  <c:ptCount val="5"/>
                  <c:pt idx="0">
                    <c:v>1.50648969901078</c:v>
                  </c:pt>
                  <c:pt idx="1">
                    <c:v>5.08833418307653</c:v>
                  </c:pt>
                  <c:pt idx="2">
                    <c:v>1.670338209907721</c:v>
                  </c:pt>
                  <c:pt idx="3">
                    <c:v>1.111705382818256</c:v>
                  </c:pt>
                  <c:pt idx="4">
                    <c:v>0.170361130972908</c:v>
                  </c:pt>
                </c:numCache>
              </c:numRef>
            </c:plus>
            <c:minus>
              <c:numRef>
                <c:f>('hsp70h cDNA'!$AC$9,'hsp70h cDNA'!$AC$13,'hsp70h cDNA'!$AC$10:$AC$12)</c:f>
                <c:numCache>
                  <c:formatCode>General</c:formatCode>
                  <c:ptCount val="5"/>
                  <c:pt idx="0">
                    <c:v>1.3</c:v>
                  </c:pt>
                  <c:pt idx="1">
                    <c:v>3.2</c:v>
                  </c:pt>
                  <c:pt idx="2">
                    <c:v>1.2</c:v>
                  </c:pt>
                  <c:pt idx="3">
                    <c:v>0.9</c:v>
                  </c:pt>
                  <c:pt idx="4">
                    <c:v>0.2</c:v>
                  </c:pt>
                </c:numCache>
              </c:numRef>
            </c:minus>
            <c:spPr>
              <a:ln w="19050"/>
            </c:spPr>
          </c:errBars>
          <c:val>
            <c:numRef>
              <c:f>('hsp70h cDNA'!$Y$9,'hsp70h cDNA'!$Y$13,'hsp70h cDNA'!$Y$10:$Y$12)</c:f>
              <c:numCache>
                <c:formatCode>General</c:formatCode>
                <c:ptCount val="5"/>
                <c:pt idx="0">
                  <c:v>11.32236925650953</c:v>
                </c:pt>
                <c:pt idx="1">
                  <c:v>8.748634006197965</c:v>
                </c:pt>
                <c:pt idx="2">
                  <c:v>4.949804879808711</c:v>
                </c:pt>
                <c:pt idx="3">
                  <c:v>4.447454258686917</c:v>
                </c:pt>
                <c:pt idx="4">
                  <c:v>2.041387114479205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4947768"/>
        <c:axId val="2074951080"/>
      </c:lineChart>
      <c:catAx>
        <c:axId val="2074947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crossAx val="2074951080"/>
        <c:crosses val="autoZero"/>
        <c:auto val="1"/>
        <c:lblAlgn val="ctr"/>
        <c:lblOffset val="100"/>
        <c:noMultiLvlLbl val="0"/>
      </c:catAx>
      <c:valAx>
        <c:axId val="2074951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2074947768"/>
        <c:crosses val="autoZero"/>
        <c:crossBetween val="between"/>
        <c:majorUnit val="4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  <a:effectLst/>
          </c:spPr>
          <c:marker>
            <c:spPr>
              <a:solidFill>
                <a:schemeClr val="tx1"/>
              </a:solidFill>
              <a:ln>
                <a:noFill/>
              </a:ln>
              <a:effectLst/>
            </c:spPr>
          </c:marker>
          <c:trendline>
            <c:spPr>
              <a:ln w="25400"/>
            </c:spPr>
            <c:trendlineType val="linear"/>
            <c:dispRSqr val="0"/>
            <c:dispEq val="0"/>
          </c:trendline>
          <c:xVal>
            <c:numRef>
              <c:f>'hsp70h cDNA'!$V$2:$V$72</c:f>
              <c:numCache>
                <c:formatCode>General</c:formatCode>
                <c:ptCount val="71"/>
                <c:pt idx="0">
                  <c:v>1.662953620275386</c:v>
                </c:pt>
                <c:pt idx="1">
                  <c:v>1.694567950110416</c:v>
                </c:pt>
                <c:pt idx="2">
                  <c:v>1.715138487127287</c:v>
                </c:pt>
                <c:pt idx="3">
                  <c:v>1.493325445975486</c:v>
                </c:pt>
                <c:pt idx="4">
                  <c:v>1.443277683902562</c:v>
                </c:pt>
                <c:pt idx="5">
                  <c:v>1.832418214497143</c:v>
                </c:pt>
                <c:pt idx="6">
                  <c:v>1.235277270784155</c:v>
                </c:pt>
                <c:pt idx="7">
                  <c:v>1.358284542020427</c:v>
                </c:pt>
                <c:pt idx="8">
                  <c:v>1.899209429926966</c:v>
                </c:pt>
                <c:pt idx="9">
                  <c:v>1.869950170800568</c:v>
                </c:pt>
                <c:pt idx="10">
                  <c:v>1.260046011433628</c:v>
                </c:pt>
                <c:pt idx="11">
                  <c:v>1.151825803964042</c:v>
                </c:pt>
                <c:pt idx="12">
                  <c:v>1.075011517362531</c:v>
                </c:pt>
                <c:pt idx="13">
                  <c:v>1.615026325736538</c:v>
                </c:pt>
                <c:pt idx="14">
                  <c:v>1.019237417487641</c:v>
                </c:pt>
                <c:pt idx="15">
                  <c:v>1.425675271417059</c:v>
                </c:pt>
                <c:pt idx="16">
                  <c:v>0.95333244545555</c:v>
                </c:pt>
                <c:pt idx="17">
                  <c:v>0.940847561845917</c:v>
                </c:pt>
                <c:pt idx="18">
                  <c:v>1.330945421438591</c:v>
                </c:pt>
                <c:pt idx="19">
                  <c:v>0.463728670507478</c:v>
                </c:pt>
                <c:pt idx="20">
                  <c:v>1.412886264542101</c:v>
                </c:pt>
                <c:pt idx="21">
                  <c:v>1.140142540951683</c:v>
                </c:pt>
                <c:pt idx="22">
                  <c:v>1.253952560771772</c:v>
                </c:pt>
                <c:pt idx="23">
                  <c:v>1.269201836749571</c:v>
                </c:pt>
                <c:pt idx="24">
                  <c:v>1.221446513872783</c:v>
                </c:pt>
                <c:pt idx="25">
                  <c:v>0.883144809402482</c:v>
                </c:pt>
                <c:pt idx="26">
                  <c:v>1.299805462258206</c:v>
                </c:pt>
                <c:pt idx="27">
                  <c:v>1.207728787583929</c:v>
                </c:pt>
                <c:pt idx="28">
                  <c:v>1.857002364240632</c:v>
                </c:pt>
                <c:pt idx="29">
                  <c:v>0.528565914997679</c:v>
                </c:pt>
                <c:pt idx="30">
                  <c:v>0.824259212543383</c:v>
                </c:pt>
                <c:pt idx="31">
                  <c:v>1.231294869092058</c:v>
                </c:pt>
                <c:pt idx="32">
                  <c:v>0.585508484541369</c:v>
                </c:pt>
                <c:pt idx="33">
                  <c:v>0.688446456377054</c:v>
                </c:pt>
                <c:pt idx="34">
                  <c:v>0.525398816341852</c:v>
                </c:pt>
                <c:pt idx="35">
                  <c:v>1.127248357989408</c:v>
                </c:pt>
                <c:pt idx="36">
                  <c:v>0.451492726952769</c:v>
                </c:pt>
                <c:pt idx="37">
                  <c:v>0.877013745337172</c:v>
                </c:pt>
                <c:pt idx="38">
                  <c:v>1.417214838449282</c:v>
                </c:pt>
                <c:pt idx="39">
                  <c:v>1.315871098379444</c:v>
                </c:pt>
                <c:pt idx="40">
                  <c:v>1.456195687045886</c:v>
                </c:pt>
                <c:pt idx="41">
                  <c:v>1.019928530062719</c:v>
                </c:pt>
                <c:pt idx="42">
                  <c:v>1.208444700347328</c:v>
                </c:pt>
                <c:pt idx="43">
                  <c:v>0.65133274845721</c:v>
                </c:pt>
                <c:pt idx="44">
                  <c:v>1.110419904006</c:v>
                </c:pt>
                <c:pt idx="45">
                  <c:v>0.799225367588553</c:v>
                </c:pt>
                <c:pt idx="46">
                  <c:v>0.657546243694529</c:v>
                </c:pt>
                <c:pt idx="47">
                  <c:v>0.49882304225758</c:v>
                </c:pt>
                <c:pt idx="48">
                  <c:v>0.563853142016256</c:v>
                </c:pt>
                <c:pt idx="49">
                  <c:v>0.868779533790201</c:v>
                </c:pt>
                <c:pt idx="50">
                  <c:v>0.852469039176441</c:v>
                </c:pt>
                <c:pt idx="51">
                  <c:v>0.859199378681304</c:v>
                </c:pt>
                <c:pt idx="52">
                  <c:v>0.632154613290934</c:v>
                </c:pt>
                <c:pt idx="53">
                  <c:v>0.715357578557617</c:v>
                </c:pt>
                <c:pt idx="54">
                  <c:v>0.79711514871975</c:v>
                </c:pt>
                <c:pt idx="55">
                  <c:v>1.757391581480291</c:v>
                </c:pt>
                <c:pt idx="56">
                  <c:v>0.440463301372364</c:v>
                </c:pt>
                <c:pt idx="57">
                  <c:v>0.34633937065435</c:v>
                </c:pt>
                <c:pt idx="58">
                  <c:v>0.4893454670604</c:v>
                </c:pt>
                <c:pt idx="59">
                  <c:v>0.378429910637511</c:v>
                </c:pt>
                <c:pt idx="60">
                  <c:v>0.669535354429198</c:v>
                </c:pt>
                <c:pt idx="61">
                  <c:v>0.519534120230198</c:v>
                </c:pt>
                <c:pt idx="62">
                  <c:v>0.340333068150888</c:v>
                </c:pt>
                <c:pt idx="63">
                  <c:v>0.766900511882601</c:v>
                </c:pt>
                <c:pt idx="64">
                  <c:v>0.630959880660796</c:v>
                </c:pt>
                <c:pt idx="65">
                  <c:v>0.583559374440879</c:v>
                </c:pt>
                <c:pt idx="66">
                  <c:v>0.80594324356384</c:v>
                </c:pt>
                <c:pt idx="67">
                  <c:v>0.372128082096483</c:v>
                </c:pt>
                <c:pt idx="68">
                  <c:v>0.684296647197418</c:v>
                </c:pt>
                <c:pt idx="69">
                  <c:v>0.388379127192653</c:v>
                </c:pt>
                <c:pt idx="70">
                  <c:v>0.405558640311565</c:v>
                </c:pt>
              </c:numCache>
            </c:numRef>
          </c:xVal>
          <c:yVal>
            <c:numRef>
              <c:f>'hsp70h cDNA'!$U$2:$U$72</c:f>
              <c:numCache>
                <c:formatCode>General</c:formatCode>
                <c:ptCount val="71"/>
                <c:pt idx="0">
                  <c:v>1.036257590722161</c:v>
                </c:pt>
                <c:pt idx="1">
                  <c:v>1.262574034655701</c:v>
                </c:pt>
                <c:pt idx="2">
                  <c:v>1.072958408659584</c:v>
                </c:pt>
                <c:pt idx="3">
                  <c:v>1.129679684139106</c:v>
                </c:pt>
                <c:pt idx="4">
                  <c:v>0.915454642648621</c:v>
                </c:pt>
                <c:pt idx="5">
                  <c:v>1.260782296579616</c:v>
                </c:pt>
                <c:pt idx="6">
                  <c:v>0.9135178612201</c:v>
                </c:pt>
                <c:pt idx="7">
                  <c:v>1.031230993324473</c:v>
                </c:pt>
                <c:pt idx="8">
                  <c:v>1.18210688360014</c:v>
                </c:pt>
                <c:pt idx="9">
                  <c:v>1.190259735446171</c:v>
                </c:pt>
                <c:pt idx="10">
                  <c:v>0.541009159313984</c:v>
                </c:pt>
                <c:pt idx="11">
                  <c:v>0.851569522052831</c:v>
                </c:pt>
                <c:pt idx="12">
                  <c:v>0.959287186823167</c:v>
                </c:pt>
                <c:pt idx="13">
                  <c:v>1.334174774833512</c:v>
                </c:pt>
                <c:pt idx="14">
                  <c:v>0.69905157958219</c:v>
                </c:pt>
                <c:pt idx="15">
                  <c:v>0.908896825908556</c:v>
                </c:pt>
                <c:pt idx="16">
                  <c:v>1.272067786788827</c:v>
                </c:pt>
                <c:pt idx="17">
                  <c:v>0.064316408674935</c:v>
                </c:pt>
                <c:pt idx="18">
                  <c:v>1.278392744049558</c:v>
                </c:pt>
                <c:pt idx="19">
                  <c:v>0.876356363402635</c:v>
                </c:pt>
                <c:pt idx="20">
                  <c:v>0.379589249445954</c:v>
                </c:pt>
                <c:pt idx="21">
                  <c:v>1.365615095433701</c:v>
                </c:pt>
                <c:pt idx="22">
                  <c:v>1.357244091454945</c:v>
                </c:pt>
                <c:pt idx="23">
                  <c:v>1.024934726113835</c:v>
                </c:pt>
                <c:pt idx="24">
                  <c:v>1.057403601692819</c:v>
                </c:pt>
                <c:pt idx="25">
                  <c:v>0.615368376749952</c:v>
                </c:pt>
                <c:pt idx="26">
                  <c:v>0.721647594772711</c:v>
                </c:pt>
                <c:pt idx="27">
                  <c:v>0.779872578848074</c:v>
                </c:pt>
                <c:pt idx="28">
                  <c:v>0.77387255196437</c:v>
                </c:pt>
                <c:pt idx="29">
                  <c:v>0.664886805621776</c:v>
                </c:pt>
                <c:pt idx="30">
                  <c:v>0.760229837564765</c:v>
                </c:pt>
                <c:pt idx="31">
                  <c:v>-0.286141383009755</c:v>
                </c:pt>
                <c:pt idx="32">
                  <c:v>0.328987522854126</c:v>
                </c:pt>
                <c:pt idx="33">
                  <c:v>0.670474384896106</c:v>
                </c:pt>
                <c:pt idx="34">
                  <c:v>0.423913629813797</c:v>
                </c:pt>
                <c:pt idx="35">
                  <c:v>0.743976362397683</c:v>
                </c:pt>
                <c:pt idx="36">
                  <c:v>0.23800821147649</c:v>
                </c:pt>
                <c:pt idx="37">
                  <c:v>0.9532270345151</c:v>
                </c:pt>
                <c:pt idx="38">
                  <c:v>1.299683253943617</c:v>
                </c:pt>
                <c:pt idx="39">
                  <c:v>0.898434235947272</c:v>
                </c:pt>
                <c:pt idx="40">
                  <c:v>0.788045632847545</c:v>
                </c:pt>
                <c:pt idx="41">
                  <c:v>0.724106267458746</c:v>
                </c:pt>
                <c:pt idx="42">
                  <c:v>0.738224826711654</c:v>
                </c:pt>
                <c:pt idx="43">
                  <c:v>0.406347757555595</c:v>
                </c:pt>
                <c:pt idx="44">
                  <c:v>0.938211924134796</c:v>
                </c:pt>
                <c:pt idx="45">
                  <c:v>0.566133130019168</c:v>
                </c:pt>
                <c:pt idx="46">
                  <c:v>0.750718201338388</c:v>
                </c:pt>
                <c:pt idx="47">
                  <c:v>0.290722987315532</c:v>
                </c:pt>
                <c:pt idx="48">
                  <c:v>-0.0248206707131457</c:v>
                </c:pt>
                <c:pt idx="49">
                  <c:v>0.869237891611502</c:v>
                </c:pt>
                <c:pt idx="50">
                  <c:v>0.710448108802008</c:v>
                </c:pt>
                <c:pt idx="51">
                  <c:v>0.825035642455185</c:v>
                </c:pt>
                <c:pt idx="52">
                  <c:v>0.667439893775715</c:v>
                </c:pt>
                <c:pt idx="53">
                  <c:v>0.399560558933464</c:v>
                </c:pt>
                <c:pt idx="54">
                  <c:v>0.199820628633658</c:v>
                </c:pt>
                <c:pt idx="55">
                  <c:v>0.86523770672514</c:v>
                </c:pt>
                <c:pt idx="56">
                  <c:v>-0.042535452885735</c:v>
                </c:pt>
                <c:pt idx="57">
                  <c:v>0.444370438309005</c:v>
                </c:pt>
                <c:pt idx="58">
                  <c:v>0.504532822435999</c:v>
                </c:pt>
                <c:pt idx="59">
                  <c:v>0.332326692094389</c:v>
                </c:pt>
                <c:pt idx="60">
                  <c:v>0.985564511842344</c:v>
                </c:pt>
                <c:pt idx="61">
                  <c:v>0.343188129371087</c:v>
                </c:pt>
                <c:pt idx="62">
                  <c:v>0.720115524347301</c:v>
                </c:pt>
                <c:pt idx="63">
                  <c:v>0.608606256814337</c:v>
                </c:pt>
                <c:pt idx="64">
                  <c:v>0.397382904332002</c:v>
                </c:pt>
                <c:pt idx="65">
                  <c:v>0.261573095009036</c:v>
                </c:pt>
                <c:pt idx="66">
                  <c:v>0.250149656524247</c:v>
                </c:pt>
                <c:pt idx="67">
                  <c:v>0.311473239842374</c:v>
                </c:pt>
                <c:pt idx="68">
                  <c:v>0.299172240043547</c:v>
                </c:pt>
                <c:pt idx="69">
                  <c:v>0.460453886034245</c:v>
                </c:pt>
                <c:pt idx="70">
                  <c:v>0.189272562027253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4980616"/>
        <c:axId val="2074983848"/>
      </c:scatterChart>
      <c:valAx>
        <c:axId val="2074980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crossAx val="2074983848"/>
        <c:crosses val="autoZero"/>
        <c:crossBetween val="midCat"/>
      </c:valAx>
      <c:valAx>
        <c:axId val="2074983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2074980616"/>
        <c:crosses val="autoZero"/>
        <c:crossBetween val="midCat"/>
        <c:maj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  <a:effectLst/>
          </c:spPr>
          <c:dPt>
            <c:idx val="10"/>
            <c:bubble3D val="0"/>
          </c:dPt>
          <c:dLbls>
            <c:txPr>
              <a:bodyPr/>
              <a:lstStyle/>
              <a:p>
                <a:pPr>
                  <a:defRPr sz="1100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'host EST breakdown'!$E$31:$E$43</c:f>
              <c:strCache>
                <c:ptCount val="13"/>
                <c:pt idx="0">
                  <c:v>transcription factor</c:v>
                </c:pt>
                <c:pt idx="1">
                  <c:v>mitochondrial </c:v>
                </c:pt>
                <c:pt idx="2">
                  <c:v>metabolism</c:v>
                </c:pt>
                <c:pt idx="3">
                  <c:v>structural</c:v>
                </c:pt>
                <c:pt idx="4">
                  <c:v>ribosomal</c:v>
                </c:pt>
                <c:pt idx="5">
                  <c:v>unknown function</c:v>
                </c:pt>
                <c:pt idx="6">
                  <c:v>protein homeostasis</c:v>
                </c:pt>
                <c:pt idx="7">
                  <c:v>molecular trafficking</c:v>
                </c:pt>
                <c:pt idx="8">
                  <c:v>cytoskeleton</c:v>
                </c:pt>
                <c:pt idx="9">
                  <c:v>signal transduction</c:v>
                </c:pt>
                <c:pt idx="12">
                  <c:v>other functions</c:v>
                </c:pt>
              </c:strCache>
            </c:strRef>
          </c:cat>
          <c:val>
            <c:numRef>
              <c:f>'host EST breakdown'!$G$31:$G$43</c:f>
              <c:numCache>
                <c:formatCode>General</c:formatCode>
                <c:ptCount val="13"/>
                <c:pt idx="0">
                  <c:v>15.61822125813449</c:v>
                </c:pt>
                <c:pt idx="1">
                  <c:v>9.978308026030369</c:v>
                </c:pt>
                <c:pt idx="2">
                  <c:v>8.893709327548806</c:v>
                </c:pt>
                <c:pt idx="3">
                  <c:v>8.242950108459871</c:v>
                </c:pt>
                <c:pt idx="4">
                  <c:v>7.592190889370933</c:v>
                </c:pt>
                <c:pt idx="5">
                  <c:v>4.772234273318872</c:v>
                </c:pt>
                <c:pt idx="6">
                  <c:v>4.772234273318872</c:v>
                </c:pt>
                <c:pt idx="7">
                  <c:v>4.338394793926247</c:v>
                </c:pt>
                <c:pt idx="8">
                  <c:v>4.121475054229935</c:v>
                </c:pt>
                <c:pt idx="9">
                  <c:v>4.772234273318872</c:v>
                </c:pt>
                <c:pt idx="12">
                  <c:v>26.89804772234273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4" Type="http://schemas.openxmlformats.org/officeDocument/2006/relationships/image" Target="../media/image4.emf"/><Relationship Id="rId5" Type="http://schemas.openxmlformats.org/officeDocument/2006/relationships/image" Target="../media/image5.emf"/><Relationship Id="rId6" Type="http://schemas.openxmlformats.org/officeDocument/2006/relationships/image" Target="../media/image6.emf"/><Relationship Id="rId7" Type="http://schemas.openxmlformats.org/officeDocument/2006/relationships/image" Target="../media/image7.emf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9" Type="http://schemas.openxmlformats.org/officeDocument/2006/relationships/chart" Target="../charts/chart19.xml"/><Relationship Id="rId20" Type="http://schemas.openxmlformats.org/officeDocument/2006/relationships/chart" Target="../charts/chart30.xml"/><Relationship Id="rId10" Type="http://schemas.openxmlformats.org/officeDocument/2006/relationships/chart" Target="../charts/chart20.xml"/><Relationship Id="rId11" Type="http://schemas.openxmlformats.org/officeDocument/2006/relationships/chart" Target="../charts/chart21.xml"/><Relationship Id="rId12" Type="http://schemas.openxmlformats.org/officeDocument/2006/relationships/chart" Target="../charts/chart22.xml"/><Relationship Id="rId13" Type="http://schemas.openxmlformats.org/officeDocument/2006/relationships/chart" Target="../charts/chart23.xml"/><Relationship Id="rId14" Type="http://schemas.openxmlformats.org/officeDocument/2006/relationships/chart" Target="../charts/chart24.xml"/><Relationship Id="rId15" Type="http://schemas.openxmlformats.org/officeDocument/2006/relationships/chart" Target="../charts/chart25.xml"/><Relationship Id="rId16" Type="http://schemas.openxmlformats.org/officeDocument/2006/relationships/chart" Target="../charts/chart26.xml"/><Relationship Id="rId17" Type="http://schemas.openxmlformats.org/officeDocument/2006/relationships/chart" Target="../charts/chart27.xml"/><Relationship Id="rId18" Type="http://schemas.openxmlformats.org/officeDocument/2006/relationships/chart" Target="../charts/chart28.xml"/><Relationship Id="rId19" Type="http://schemas.openxmlformats.org/officeDocument/2006/relationships/chart" Target="../charts/chart29.xml"/><Relationship Id="rId1" Type="http://schemas.openxmlformats.org/officeDocument/2006/relationships/chart" Target="../charts/chart11.xml"/><Relationship Id="rId2" Type="http://schemas.openxmlformats.org/officeDocument/2006/relationships/chart" Target="../charts/chart12.xml"/><Relationship Id="rId3" Type="http://schemas.openxmlformats.org/officeDocument/2006/relationships/chart" Target="../charts/chart13.xml"/><Relationship Id="rId4" Type="http://schemas.openxmlformats.org/officeDocument/2006/relationships/chart" Target="../charts/chart14.xml"/><Relationship Id="rId5" Type="http://schemas.openxmlformats.org/officeDocument/2006/relationships/chart" Target="../charts/chart15.xml"/><Relationship Id="rId6" Type="http://schemas.openxmlformats.org/officeDocument/2006/relationships/chart" Target="../charts/chart16.xml"/><Relationship Id="rId7" Type="http://schemas.openxmlformats.org/officeDocument/2006/relationships/chart" Target="../charts/chart17.xml"/><Relationship Id="rId8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88900</xdr:colOff>
      <xdr:row>0</xdr:row>
      <xdr:rowOff>88900</xdr:rowOff>
    </xdr:from>
    <xdr:to>
      <xdr:col>14</xdr:col>
      <xdr:colOff>444500</xdr:colOff>
      <xdr:row>27</xdr:row>
      <xdr:rowOff>76200</xdr:rowOff>
    </xdr:to>
    <xdr:graphicFrame macro="">
      <xdr:nvGraphicFramePr>
        <xdr:cNvPr id="1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254000</xdr:colOff>
      <xdr:row>31</xdr:row>
      <xdr:rowOff>38100</xdr:rowOff>
    </xdr:from>
    <xdr:to>
      <xdr:col>16</xdr:col>
      <xdr:colOff>215900</xdr:colOff>
      <xdr:row>57</xdr:row>
      <xdr:rowOff>114300</xdr:rowOff>
    </xdr:to>
    <xdr:graphicFrame macro="">
      <xdr:nvGraphicFramePr>
        <xdr:cNvPr id="115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12</xdr:col>
      <xdr:colOff>685800</xdr:colOff>
      <xdr:row>86</xdr:row>
      <xdr:rowOff>127000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255000"/>
          <a:ext cx="12115800" cy="607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13</xdr:col>
      <xdr:colOff>685800</xdr:colOff>
      <xdr:row>125</xdr:row>
      <xdr:rowOff>12700</xdr:rowOff>
    </xdr:to>
    <xdr:pic>
      <xdr:nvPicPr>
        <xdr:cNvPr id="3" name="Picture 2" descr="Screen Shot 2016-05-07 at 8.45.26 PM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198600"/>
          <a:ext cx="13068300" cy="645160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24</xdr:col>
      <xdr:colOff>584200</xdr:colOff>
      <xdr:row>45</xdr:row>
      <xdr:rowOff>152400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92500" y="1155700"/>
          <a:ext cx="8077200" cy="6426200"/>
        </a:xfrm>
        <a:prstGeom prst="rect">
          <a:avLst/>
        </a:prstGeom>
      </xdr:spPr>
    </xdr:pic>
    <xdr:clientData/>
  </xdr:twoCellAnchor>
  <xdr:twoCellAnchor editAs="oneCell">
    <xdr:from>
      <xdr:col>25</xdr:col>
      <xdr:colOff>927100</xdr:colOff>
      <xdr:row>12</xdr:row>
      <xdr:rowOff>0</xdr:rowOff>
    </xdr:from>
    <xdr:to>
      <xdr:col>33</xdr:col>
      <xdr:colOff>508000</xdr:colOff>
      <xdr:row>35</xdr:row>
      <xdr:rowOff>114300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739600" y="1981200"/>
          <a:ext cx="7200900" cy="391160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40</xdr:row>
      <xdr:rowOff>152400</xdr:rowOff>
    </xdr:from>
    <xdr:to>
      <xdr:col>33</xdr:col>
      <xdr:colOff>533400</xdr:colOff>
      <xdr:row>66</xdr:row>
      <xdr:rowOff>12700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765000" y="6756400"/>
          <a:ext cx="7200900" cy="4152900"/>
        </a:xfrm>
        <a:prstGeom prst="rect">
          <a:avLst/>
        </a:prstGeom>
      </xdr:spPr>
    </xdr:pic>
    <xdr:clientData/>
  </xdr:twoCellAnchor>
  <xdr:twoCellAnchor editAs="oneCell">
    <xdr:from>
      <xdr:col>14</xdr:col>
      <xdr:colOff>101600</xdr:colOff>
      <xdr:row>70</xdr:row>
      <xdr:rowOff>127000</xdr:rowOff>
    </xdr:from>
    <xdr:to>
      <xdr:col>26</xdr:col>
      <xdr:colOff>673100</xdr:colOff>
      <xdr:row>98</xdr:row>
      <xdr:rowOff>63500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436600" y="11684000"/>
          <a:ext cx="12827000" cy="4559300"/>
        </a:xfrm>
        <a:prstGeom prst="rect">
          <a:avLst/>
        </a:prstGeom>
      </xdr:spPr>
    </xdr:pic>
    <xdr:clientData/>
  </xdr:twoCellAnchor>
  <xdr:twoCellAnchor editAs="oneCell">
    <xdr:from>
      <xdr:col>26</xdr:col>
      <xdr:colOff>762000</xdr:colOff>
      <xdr:row>66</xdr:row>
      <xdr:rowOff>139700</xdr:rowOff>
    </xdr:from>
    <xdr:to>
      <xdr:col>33</xdr:col>
      <xdr:colOff>63500</xdr:colOff>
      <xdr:row>93</xdr:row>
      <xdr:rowOff>152400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6352500" y="11036300"/>
          <a:ext cx="5969000" cy="4470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93</xdr:row>
      <xdr:rowOff>139700</xdr:rowOff>
    </xdr:from>
    <xdr:to>
      <xdr:col>18</xdr:col>
      <xdr:colOff>0</xdr:colOff>
      <xdr:row>123</xdr:row>
      <xdr:rowOff>88900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209550</xdr:colOff>
      <xdr:row>17</xdr:row>
      <xdr:rowOff>127000</xdr:rowOff>
    </xdr:from>
    <xdr:to>
      <xdr:col>23</xdr:col>
      <xdr:colOff>12700</xdr:colOff>
      <xdr:row>45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647700</xdr:colOff>
      <xdr:row>19</xdr:row>
      <xdr:rowOff>88900</xdr:rowOff>
    </xdr:from>
    <xdr:to>
      <xdr:col>30</xdr:col>
      <xdr:colOff>469900</xdr:colOff>
      <xdr:row>44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215900</xdr:colOff>
      <xdr:row>34</xdr:row>
      <xdr:rowOff>69850</xdr:rowOff>
    </xdr:from>
    <xdr:to>
      <xdr:col>22</xdr:col>
      <xdr:colOff>419100</xdr:colOff>
      <xdr:row>51</xdr:row>
      <xdr:rowOff>6350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25400</xdr:colOff>
      <xdr:row>15</xdr:row>
      <xdr:rowOff>95250</xdr:rowOff>
    </xdr:from>
    <xdr:to>
      <xdr:col>28</xdr:col>
      <xdr:colOff>76200</xdr:colOff>
      <xdr:row>36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165100</xdr:colOff>
      <xdr:row>36</xdr:row>
      <xdr:rowOff>114300</xdr:rowOff>
    </xdr:from>
    <xdr:to>
      <xdr:col>28</xdr:col>
      <xdr:colOff>317500</xdr:colOff>
      <xdr:row>61</xdr:row>
      <xdr:rowOff>69850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38100</xdr:rowOff>
    </xdr:from>
    <xdr:to>
      <xdr:col>20</xdr:col>
      <xdr:colOff>266700</xdr:colOff>
      <xdr:row>42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698500</xdr:colOff>
      <xdr:row>7</xdr:row>
      <xdr:rowOff>63500</xdr:rowOff>
    </xdr:from>
    <xdr:to>
      <xdr:col>23</xdr:col>
      <xdr:colOff>781050</xdr:colOff>
      <xdr:row>47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6350</xdr:colOff>
      <xdr:row>46</xdr:row>
      <xdr:rowOff>76200</xdr:rowOff>
    </xdr:from>
    <xdr:to>
      <xdr:col>36</xdr:col>
      <xdr:colOff>374650</xdr:colOff>
      <xdr:row>63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184150</xdr:colOff>
      <xdr:row>59</xdr:row>
      <xdr:rowOff>101600</xdr:rowOff>
    </xdr:from>
    <xdr:to>
      <xdr:col>52</xdr:col>
      <xdr:colOff>946150</xdr:colOff>
      <xdr:row>76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603250</xdr:colOff>
      <xdr:row>53</xdr:row>
      <xdr:rowOff>88900</xdr:rowOff>
    </xdr:from>
    <xdr:to>
      <xdr:col>44</xdr:col>
      <xdr:colOff>133350</xdr:colOff>
      <xdr:row>70</xdr:row>
      <xdr:rowOff>25400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49</xdr:col>
      <xdr:colOff>908050</xdr:colOff>
      <xdr:row>62</xdr:row>
      <xdr:rowOff>127000</xdr:rowOff>
    </xdr:from>
    <xdr:to>
      <xdr:col>54</xdr:col>
      <xdr:colOff>717550</xdr:colOff>
      <xdr:row>79</xdr:row>
      <xdr:rowOff>63500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67</xdr:col>
      <xdr:colOff>323850</xdr:colOff>
      <xdr:row>52</xdr:row>
      <xdr:rowOff>152400</xdr:rowOff>
    </xdr:from>
    <xdr:to>
      <xdr:col>71</xdr:col>
      <xdr:colOff>806450</xdr:colOff>
      <xdr:row>69</xdr:row>
      <xdr:rowOff>88900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54</xdr:col>
      <xdr:colOff>1225550</xdr:colOff>
      <xdr:row>61</xdr:row>
      <xdr:rowOff>50800</xdr:rowOff>
    </xdr:from>
    <xdr:to>
      <xdr:col>59</xdr:col>
      <xdr:colOff>450850</xdr:colOff>
      <xdr:row>77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65</xdr:col>
      <xdr:colOff>901700</xdr:colOff>
      <xdr:row>59</xdr:row>
      <xdr:rowOff>19050</xdr:rowOff>
    </xdr:from>
    <xdr:to>
      <xdr:col>70</xdr:col>
      <xdr:colOff>533400</xdr:colOff>
      <xdr:row>75</xdr:row>
      <xdr:rowOff>120650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304800</xdr:colOff>
      <xdr:row>64</xdr:row>
      <xdr:rowOff>19050</xdr:rowOff>
    </xdr:from>
    <xdr:to>
      <xdr:col>43</xdr:col>
      <xdr:colOff>596900</xdr:colOff>
      <xdr:row>80</xdr:row>
      <xdr:rowOff>120650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68</xdr:col>
      <xdr:colOff>495300</xdr:colOff>
      <xdr:row>51</xdr:row>
      <xdr:rowOff>76200</xdr:rowOff>
    </xdr:from>
    <xdr:to>
      <xdr:col>76</xdr:col>
      <xdr:colOff>520700</xdr:colOff>
      <xdr:row>68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59</xdr:col>
      <xdr:colOff>165100</xdr:colOff>
      <xdr:row>50</xdr:row>
      <xdr:rowOff>95250</xdr:rowOff>
    </xdr:from>
    <xdr:to>
      <xdr:col>64</xdr:col>
      <xdr:colOff>1054100</xdr:colOff>
      <xdr:row>67</xdr:row>
      <xdr:rowOff>31750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78</xdr:col>
      <xdr:colOff>711200</xdr:colOff>
      <xdr:row>48</xdr:row>
      <xdr:rowOff>120650</xdr:rowOff>
    </xdr:from>
    <xdr:to>
      <xdr:col>84</xdr:col>
      <xdr:colOff>203200</xdr:colOff>
      <xdr:row>65</xdr:row>
      <xdr:rowOff>57150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89</xdr:col>
      <xdr:colOff>501650</xdr:colOff>
      <xdr:row>49</xdr:row>
      <xdr:rowOff>12700</xdr:rowOff>
    </xdr:from>
    <xdr:to>
      <xdr:col>94</xdr:col>
      <xdr:colOff>755650</xdr:colOff>
      <xdr:row>65</xdr:row>
      <xdr:rowOff>114300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469900</xdr:colOff>
      <xdr:row>64</xdr:row>
      <xdr:rowOff>6350</xdr:rowOff>
    </xdr:from>
    <xdr:to>
      <xdr:col>37</xdr:col>
      <xdr:colOff>152400</xdr:colOff>
      <xdr:row>80</xdr:row>
      <xdr:rowOff>107950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98</xdr:col>
      <xdr:colOff>533400</xdr:colOff>
      <xdr:row>50</xdr:row>
      <xdr:rowOff>69850</xdr:rowOff>
    </xdr:from>
    <xdr:to>
      <xdr:col>103</xdr:col>
      <xdr:colOff>596900</xdr:colOff>
      <xdr:row>67</xdr:row>
      <xdr:rowOff>6350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109</xdr:col>
      <xdr:colOff>31750</xdr:colOff>
      <xdr:row>44</xdr:row>
      <xdr:rowOff>139700</xdr:rowOff>
    </xdr:from>
    <xdr:to>
      <xdr:col>113</xdr:col>
      <xdr:colOff>387350</xdr:colOff>
      <xdr:row>61</xdr:row>
      <xdr:rowOff>76200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110</xdr:col>
      <xdr:colOff>292100</xdr:colOff>
      <xdr:row>63</xdr:row>
      <xdr:rowOff>50800</xdr:rowOff>
    </xdr:from>
    <xdr:to>
      <xdr:col>115</xdr:col>
      <xdr:colOff>368300</xdr:colOff>
      <xdr:row>83</xdr:row>
      <xdr:rowOff>63500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129</xdr:col>
      <xdr:colOff>374650</xdr:colOff>
      <xdr:row>50</xdr:row>
      <xdr:rowOff>114300</xdr:rowOff>
    </xdr:from>
    <xdr:to>
      <xdr:col>134</xdr:col>
      <xdr:colOff>476250</xdr:colOff>
      <xdr:row>67</xdr:row>
      <xdr:rowOff>50800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119</xdr:col>
      <xdr:colOff>171450</xdr:colOff>
      <xdr:row>53</xdr:row>
      <xdr:rowOff>101600</xdr:rowOff>
    </xdr:from>
    <xdr:to>
      <xdr:col>124</xdr:col>
      <xdr:colOff>781050</xdr:colOff>
      <xdr:row>70</xdr:row>
      <xdr:rowOff>38100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140</xdr:col>
      <xdr:colOff>57150</xdr:colOff>
      <xdr:row>49</xdr:row>
      <xdr:rowOff>50800</xdr:rowOff>
    </xdr:from>
    <xdr:to>
      <xdr:col>144</xdr:col>
      <xdr:colOff>819150</xdr:colOff>
      <xdr:row>65</xdr:row>
      <xdr:rowOff>152400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150</xdr:col>
      <xdr:colOff>463550</xdr:colOff>
      <xdr:row>50</xdr:row>
      <xdr:rowOff>76200</xdr:rowOff>
    </xdr:from>
    <xdr:to>
      <xdr:col>154</xdr:col>
      <xdr:colOff>1047750</xdr:colOff>
      <xdr:row>67</xdr:row>
      <xdr:rowOff>12700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1193800</xdr:colOff>
      <xdr:row>100</xdr:row>
      <xdr:rowOff>120650</xdr:rowOff>
    </xdr:from>
    <xdr:to>
      <xdr:col>14</xdr:col>
      <xdr:colOff>114300</xdr:colOff>
      <xdr:row>136</xdr:row>
      <xdr:rowOff>12700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495300</xdr:colOff>
      <xdr:row>108</xdr:row>
      <xdr:rowOff>139700</xdr:rowOff>
    </xdr:from>
    <xdr:to>
      <xdr:col>28</xdr:col>
      <xdr:colOff>1155700</xdr:colOff>
      <xdr:row>131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9" workbookViewId="0">
      <selection activeCell="A27" sqref="A27"/>
    </sheetView>
  </sheetViews>
  <sheetFormatPr baseColWidth="10" defaultRowHeight="13" x14ac:dyDescent="0"/>
  <sheetData>
    <row r="1" spans="1:7">
      <c r="A1" t="s">
        <v>60</v>
      </c>
    </row>
    <row r="3" spans="1:7">
      <c r="A3" t="s">
        <v>167</v>
      </c>
    </row>
    <row r="4" spans="1:7">
      <c r="A4" t="s">
        <v>168</v>
      </c>
      <c r="B4" s="1">
        <v>0.32291666666666669</v>
      </c>
      <c r="C4" s="2">
        <v>38527</v>
      </c>
    </row>
    <row r="5" spans="1:7">
      <c r="A5" t="s">
        <v>131</v>
      </c>
      <c r="B5" s="1">
        <v>0.57291666666666663</v>
      </c>
      <c r="C5" s="2">
        <v>38527</v>
      </c>
    </row>
    <row r="6" spans="1:7">
      <c r="A6" t="s">
        <v>249</v>
      </c>
      <c r="B6" s="1">
        <v>0.82291666666666663</v>
      </c>
      <c r="C6" s="2">
        <v>38528</v>
      </c>
    </row>
    <row r="7" spans="1:7">
      <c r="A7" t="s">
        <v>250</v>
      </c>
      <c r="B7" t="s">
        <v>251</v>
      </c>
      <c r="C7" t="s">
        <v>252</v>
      </c>
      <c r="D7" t="s">
        <v>253</v>
      </c>
      <c r="E7" t="s">
        <v>254</v>
      </c>
    </row>
    <row r="8" spans="1:7">
      <c r="A8" s="4">
        <v>0.32291666666666669</v>
      </c>
      <c r="B8" s="3">
        <v>27.9</v>
      </c>
      <c r="C8" s="3">
        <v>27</v>
      </c>
      <c r="D8" s="3">
        <v>27.3</v>
      </c>
      <c r="E8" s="3">
        <v>27</v>
      </c>
      <c r="F8" t="s">
        <v>255</v>
      </c>
      <c r="G8">
        <v>0</v>
      </c>
    </row>
    <row r="9" spans="1:7">
      <c r="A9" s="1">
        <v>0.34375</v>
      </c>
      <c r="B9" s="3">
        <v>28.8</v>
      </c>
      <c r="C9" s="3">
        <v>27.6</v>
      </c>
      <c r="D9" s="3">
        <v>28.1</v>
      </c>
      <c r="E9" s="3">
        <v>27</v>
      </c>
      <c r="F9" t="s">
        <v>424</v>
      </c>
      <c r="G9">
        <v>0.5</v>
      </c>
    </row>
    <row r="10" spans="1:7">
      <c r="A10" s="1">
        <v>0.36458333333333331</v>
      </c>
      <c r="B10" s="3">
        <v>29</v>
      </c>
      <c r="C10" s="3">
        <v>28.4</v>
      </c>
      <c r="D10" s="3">
        <v>28.4</v>
      </c>
      <c r="E10" s="3">
        <v>27</v>
      </c>
      <c r="G10">
        <v>1</v>
      </c>
    </row>
    <row r="11" spans="1:7">
      <c r="A11" s="1">
        <v>0.38541666666666669</v>
      </c>
      <c r="B11" s="3">
        <v>29.4</v>
      </c>
      <c r="C11" s="3">
        <v>29</v>
      </c>
      <c r="D11" s="3">
        <v>28.6</v>
      </c>
      <c r="E11" s="3">
        <v>27</v>
      </c>
      <c r="G11">
        <v>1.5</v>
      </c>
    </row>
    <row r="12" spans="1:7">
      <c r="A12" s="1">
        <v>0.40625</v>
      </c>
      <c r="B12" s="3">
        <v>30</v>
      </c>
      <c r="C12" s="3">
        <v>29.8</v>
      </c>
      <c r="D12" s="3">
        <v>29</v>
      </c>
      <c r="E12" s="3">
        <v>27</v>
      </c>
      <c r="G12">
        <v>2</v>
      </c>
    </row>
    <row r="13" spans="1:7">
      <c r="A13" s="1">
        <v>0.42708333333333331</v>
      </c>
      <c r="B13" s="3">
        <v>30</v>
      </c>
      <c r="C13" s="3">
        <v>30.1</v>
      </c>
      <c r="D13" s="3">
        <v>29.8</v>
      </c>
      <c r="E13" s="3">
        <v>27</v>
      </c>
      <c r="G13">
        <v>2.5</v>
      </c>
    </row>
    <row r="14" spans="1:7">
      <c r="A14" s="1">
        <v>0.44791666666666669</v>
      </c>
      <c r="B14" s="3">
        <v>29.8</v>
      </c>
      <c r="C14" s="3">
        <v>30.1</v>
      </c>
      <c r="D14" s="3">
        <v>30.3</v>
      </c>
      <c r="E14" s="3">
        <v>27</v>
      </c>
      <c r="G14">
        <v>3</v>
      </c>
    </row>
    <row r="15" spans="1:7">
      <c r="A15" s="1">
        <v>0.46875</v>
      </c>
      <c r="B15" s="3">
        <v>29.9</v>
      </c>
      <c r="C15" s="3">
        <v>30</v>
      </c>
      <c r="D15" s="3">
        <v>30</v>
      </c>
      <c r="E15" s="3">
        <v>27</v>
      </c>
      <c r="G15">
        <v>3.5</v>
      </c>
    </row>
    <row r="16" spans="1:7">
      <c r="A16" s="1">
        <v>0.53125</v>
      </c>
      <c r="B16" s="3">
        <v>30.1</v>
      </c>
      <c r="C16" s="3">
        <v>29.9</v>
      </c>
      <c r="D16" s="3">
        <v>29.6</v>
      </c>
      <c r="E16" s="3">
        <v>27</v>
      </c>
      <c r="G16">
        <v>5</v>
      </c>
    </row>
    <row r="17" spans="1:7">
      <c r="A17" s="1">
        <v>0.55208333333333337</v>
      </c>
      <c r="B17" s="3">
        <v>30.6</v>
      </c>
      <c r="C17" s="3">
        <v>30.4</v>
      </c>
      <c r="D17" s="3">
        <v>30.4</v>
      </c>
      <c r="E17" s="3">
        <v>27.4</v>
      </c>
      <c r="F17">
        <f>AVERAGE(E8:E16)</f>
        <v>27</v>
      </c>
      <c r="G17">
        <v>5.5</v>
      </c>
    </row>
    <row r="18" spans="1:7">
      <c r="A18" s="4">
        <v>0.57291666666666663</v>
      </c>
      <c r="B18" s="3">
        <v>30.6</v>
      </c>
      <c r="C18" s="3">
        <v>30.4</v>
      </c>
      <c r="D18" s="3">
        <v>30.4</v>
      </c>
      <c r="E18" s="3">
        <v>27.6</v>
      </c>
      <c r="F18">
        <f>STDEV(E8:E17)</f>
        <v>0.12649110640673475</v>
      </c>
      <c r="G18">
        <v>6</v>
      </c>
    </row>
    <row r="19" spans="1:7">
      <c r="A19" s="1">
        <v>0.59375</v>
      </c>
      <c r="B19" s="3">
        <v>30.6</v>
      </c>
      <c r="C19" s="3">
        <v>30.3</v>
      </c>
      <c r="D19" s="3">
        <v>30.4</v>
      </c>
      <c r="E19" s="3">
        <v>27.6</v>
      </c>
      <c r="G19">
        <v>6.5</v>
      </c>
    </row>
    <row r="20" spans="1:7">
      <c r="A20" s="1">
        <v>0.61458333333333337</v>
      </c>
      <c r="B20" s="3">
        <v>30.5</v>
      </c>
      <c r="C20" s="3">
        <v>30.1</v>
      </c>
      <c r="D20" s="3">
        <v>30.1</v>
      </c>
      <c r="E20" s="3">
        <v>27.6</v>
      </c>
      <c r="G20">
        <v>7</v>
      </c>
    </row>
    <row r="21" spans="1:7">
      <c r="A21" s="1">
        <v>0.63541666666666663</v>
      </c>
      <c r="B21" s="3">
        <v>30.4</v>
      </c>
      <c r="C21" s="3">
        <v>30</v>
      </c>
      <c r="D21" s="3">
        <v>30.1</v>
      </c>
      <c r="E21" s="3">
        <v>27.6</v>
      </c>
      <c r="G21">
        <v>7.5</v>
      </c>
    </row>
    <row r="22" spans="1:7">
      <c r="A22" s="1">
        <v>0.65625</v>
      </c>
      <c r="B22" s="3">
        <v>30.2</v>
      </c>
      <c r="C22" s="3">
        <v>30</v>
      </c>
      <c r="D22" s="3">
        <v>30.3</v>
      </c>
      <c r="E22" s="3">
        <v>27.7</v>
      </c>
      <c r="G22">
        <v>8</v>
      </c>
    </row>
    <row r="23" spans="1:7">
      <c r="A23" s="1">
        <v>0.67708333333333337</v>
      </c>
      <c r="B23" s="3">
        <v>30.1</v>
      </c>
      <c r="C23" s="3">
        <v>30</v>
      </c>
      <c r="D23" s="3">
        <v>30.2</v>
      </c>
      <c r="E23" s="3">
        <v>27.7</v>
      </c>
      <c r="G23">
        <v>8.5</v>
      </c>
    </row>
    <row r="24" spans="1:7">
      <c r="A24" s="1">
        <v>0.69791666666666663</v>
      </c>
      <c r="B24" s="3">
        <v>30.1</v>
      </c>
      <c r="C24" s="3">
        <v>30</v>
      </c>
      <c r="D24" s="3">
        <v>30.6</v>
      </c>
      <c r="E24" s="3">
        <v>27.7</v>
      </c>
      <c r="G24">
        <v>9</v>
      </c>
    </row>
    <row r="25" spans="1:7">
      <c r="A25" s="1">
        <v>0.78125</v>
      </c>
      <c r="B25" s="3">
        <v>30.4</v>
      </c>
      <c r="C25" s="3">
        <v>30.6</v>
      </c>
      <c r="D25" s="3">
        <v>30.5</v>
      </c>
      <c r="E25" s="3">
        <v>27.7</v>
      </c>
      <c r="F25">
        <f>AVERAGE(E18:E26)</f>
        <v>27.655555555555551</v>
      </c>
      <c r="G25">
        <v>11</v>
      </c>
    </row>
    <row r="26" spans="1:7">
      <c r="A26" s="1">
        <v>0.80208333333333337</v>
      </c>
      <c r="B26" s="3">
        <v>30.3</v>
      </c>
      <c r="C26" s="3">
        <v>30.4</v>
      </c>
      <c r="D26" s="3">
        <v>30.3</v>
      </c>
      <c r="E26" s="3">
        <v>27.7</v>
      </c>
      <c r="F26">
        <f>STDEV(E17:E26)</f>
        <v>9.4868329805051291E-2</v>
      </c>
      <c r="G26">
        <v>11.5</v>
      </c>
    </row>
    <row r="27" spans="1:7">
      <c r="A27" s="4">
        <v>0.82291666666666663</v>
      </c>
      <c r="B27" s="3">
        <v>29.9</v>
      </c>
      <c r="C27" s="3">
        <v>29.8</v>
      </c>
      <c r="D27" s="3">
        <v>30.1</v>
      </c>
      <c r="E27" s="3">
        <v>26.9</v>
      </c>
      <c r="F27" t="s">
        <v>256</v>
      </c>
      <c r="G27">
        <v>12</v>
      </c>
    </row>
    <row r="28" spans="1:7">
      <c r="A28" s="1">
        <v>0.84375</v>
      </c>
      <c r="B28" s="3">
        <v>29.7</v>
      </c>
      <c r="C28" s="3">
        <v>30.3</v>
      </c>
      <c r="D28" s="3">
        <v>30.3</v>
      </c>
      <c r="E28" s="3">
        <v>26.9</v>
      </c>
      <c r="G28">
        <v>12.5</v>
      </c>
    </row>
    <row r="29" spans="1:7">
      <c r="A29" s="1">
        <v>0.86458333333333337</v>
      </c>
      <c r="B29" s="3">
        <v>30.5</v>
      </c>
      <c r="C29" s="3">
        <v>29.8</v>
      </c>
      <c r="D29" s="3">
        <v>30.1</v>
      </c>
      <c r="E29" s="3">
        <v>26.9</v>
      </c>
      <c r="G29">
        <v>13</v>
      </c>
    </row>
    <row r="30" spans="1:7">
      <c r="A30" s="1">
        <v>0.88541666666666663</v>
      </c>
      <c r="B30" s="3">
        <v>29.8</v>
      </c>
      <c r="C30" s="3">
        <v>29.9</v>
      </c>
      <c r="D30" s="3">
        <v>29.9</v>
      </c>
      <c r="E30" s="3">
        <v>26.9</v>
      </c>
      <c r="G30">
        <v>13.5</v>
      </c>
    </row>
    <row r="31" spans="1:7">
      <c r="A31" s="1">
        <v>0.90625</v>
      </c>
      <c r="B31" s="3">
        <v>29.7</v>
      </c>
      <c r="C31" s="3">
        <v>29.8</v>
      </c>
      <c r="D31" s="3">
        <v>30.1</v>
      </c>
      <c r="E31" s="3">
        <v>26.9</v>
      </c>
      <c r="G31">
        <v>14</v>
      </c>
    </row>
    <row r="32" spans="1:7">
      <c r="A32" s="1">
        <v>0.92708333333333337</v>
      </c>
      <c r="B32" s="3">
        <v>30.2</v>
      </c>
      <c r="C32" s="3">
        <v>29.7</v>
      </c>
      <c r="D32" s="3">
        <v>30.4</v>
      </c>
      <c r="E32" s="3">
        <v>26.9</v>
      </c>
      <c r="G32">
        <v>14.5</v>
      </c>
    </row>
    <row r="33" spans="1:7">
      <c r="A33" s="1">
        <v>0.94791666666666663</v>
      </c>
      <c r="B33" s="3">
        <v>30.2</v>
      </c>
      <c r="C33" s="3">
        <v>30</v>
      </c>
      <c r="D33" s="3">
        <v>30.2</v>
      </c>
      <c r="E33" s="3">
        <v>26.9</v>
      </c>
      <c r="G33">
        <v>15</v>
      </c>
    </row>
    <row r="34" spans="1:7">
      <c r="A34" s="1">
        <v>0.98958333333333337</v>
      </c>
      <c r="B34" s="3">
        <v>29.9</v>
      </c>
      <c r="C34" s="3">
        <v>30.4</v>
      </c>
      <c r="D34" s="3">
        <v>29.6</v>
      </c>
      <c r="E34" s="3">
        <v>26.9</v>
      </c>
      <c r="G34">
        <v>16</v>
      </c>
    </row>
    <row r="35" spans="1:7">
      <c r="A35" s="1">
        <v>5.2083333333333336E-2</v>
      </c>
      <c r="B35" s="3">
        <v>29.6</v>
      </c>
      <c r="C35" s="3">
        <v>29.3</v>
      </c>
      <c r="D35" s="3">
        <v>30.2</v>
      </c>
      <c r="E35" s="3">
        <v>26.8</v>
      </c>
      <c r="G35">
        <v>17.5</v>
      </c>
    </row>
    <row r="36" spans="1:7">
      <c r="A36" s="1">
        <v>7.2916666666666671E-2</v>
      </c>
      <c r="B36" s="3">
        <v>30.3</v>
      </c>
      <c r="C36" s="3">
        <v>30.8</v>
      </c>
      <c r="D36" s="3">
        <v>30.6</v>
      </c>
      <c r="E36" s="3">
        <v>27.6</v>
      </c>
      <c r="G36">
        <v>18</v>
      </c>
    </row>
    <row r="37" spans="1:7">
      <c r="A37" s="1">
        <v>0.11458333333333333</v>
      </c>
      <c r="B37" s="3">
        <v>30.3</v>
      </c>
      <c r="C37" s="3">
        <v>30.2</v>
      </c>
      <c r="D37" s="3">
        <v>30.6</v>
      </c>
      <c r="E37" s="3">
        <v>27.6</v>
      </c>
      <c r="G37">
        <v>19</v>
      </c>
    </row>
    <row r="38" spans="1:7">
      <c r="A38" s="1">
        <v>0.28125</v>
      </c>
      <c r="B38" s="3">
        <v>30.4</v>
      </c>
      <c r="C38" s="3">
        <v>30.5</v>
      </c>
      <c r="D38" s="3">
        <v>30.2</v>
      </c>
      <c r="E38" s="3">
        <v>27.4</v>
      </c>
      <c r="G38">
        <v>23</v>
      </c>
    </row>
    <row r="39" spans="1:7">
      <c r="A39" s="1">
        <v>0.30208333333333331</v>
      </c>
      <c r="B39" s="3">
        <v>30.6</v>
      </c>
      <c r="C39" s="3">
        <v>30.2</v>
      </c>
      <c r="D39" s="3">
        <v>30.6</v>
      </c>
      <c r="E39" s="3">
        <v>27.3</v>
      </c>
      <c r="G39">
        <v>23.5</v>
      </c>
    </row>
    <row r="40" spans="1:7">
      <c r="A40" s="4">
        <v>0.32291666666666669</v>
      </c>
      <c r="B40" s="3">
        <v>29.9</v>
      </c>
      <c r="C40" s="3">
        <v>29.8</v>
      </c>
      <c r="D40" s="3">
        <v>29.8</v>
      </c>
      <c r="E40" s="3">
        <v>26.9</v>
      </c>
      <c r="G40">
        <v>24</v>
      </c>
    </row>
    <row r="41" spans="1:7">
      <c r="A41" s="1">
        <v>0.38541666666666669</v>
      </c>
      <c r="B41" s="3">
        <v>29.8</v>
      </c>
      <c r="C41" s="3">
        <v>30.1</v>
      </c>
      <c r="D41" s="3">
        <v>30.3</v>
      </c>
      <c r="E41" s="3">
        <v>27</v>
      </c>
      <c r="G41">
        <v>25.5</v>
      </c>
    </row>
    <row r="42" spans="1:7">
      <c r="A42" s="1">
        <v>0.42708333333333331</v>
      </c>
      <c r="B42" s="3">
        <v>29.9</v>
      </c>
      <c r="C42" s="3">
        <v>29.8</v>
      </c>
      <c r="D42" s="3">
        <v>30.2</v>
      </c>
      <c r="E42" s="3">
        <v>27.1</v>
      </c>
      <c r="G42">
        <v>26.5</v>
      </c>
    </row>
    <row r="43" spans="1:7">
      <c r="A43" s="1">
        <v>0.46875</v>
      </c>
      <c r="B43" s="3">
        <v>29.8</v>
      </c>
      <c r="C43" s="3">
        <v>30</v>
      </c>
      <c r="D43" s="3">
        <v>30.1</v>
      </c>
      <c r="E43" s="3">
        <v>27.1</v>
      </c>
      <c r="G43">
        <v>27.5</v>
      </c>
    </row>
    <row r="44" spans="1:7">
      <c r="A44" s="1">
        <v>0.51041666666666663</v>
      </c>
      <c r="B44" s="3">
        <v>30.4</v>
      </c>
      <c r="C44" s="3">
        <v>29.6</v>
      </c>
      <c r="D44" s="3">
        <v>29.6</v>
      </c>
      <c r="E44" s="3">
        <v>27.3</v>
      </c>
      <c r="G44">
        <v>28.5</v>
      </c>
    </row>
    <row r="45" spans="1:7">
      <c r="A45" s="1">
        <v>0.55208333333333337</v>
      </c>
      <c r="B45" s="3">
        <v>30.4</v>
      </c>
      <c r="C45" s="3">
        <v>30.2</v>
      </c>
      <c r="D45" s="3">
        <v>29.7</v>
      </c>
      <c r="E45" s="3">
        <v>27.2</v>
      </c>
      <c r="G45">
        <v>29.5</v>
      </c>
    </row>
    <row r="46" spans="1:7">
      <c r="A46" s="1">
        <v>0.59375</v>
      </c>
      <c r="B46" s="3">
        <v>30.6</v>
      </c>
      <c r="C46" s="3">
        <v>30.4</v>
      </c>
      <c r="D46" s="3">
        <v>30.6</v>
      </c>
      <c r="E46" s="3">
        <v>27.6</v>
      </c>
      <c r="G46">
        <v>30.5</v>
      </c>
    </row>
    <row r="47" spans="1:7">
      <c r="A47" s="1">
        <v>0.63541666666666663</v>
      </c>
      <c r="B47" s="3">
        <v>30.5</v>
      </c>
      <c r="C47" s="3">
        <v>30.3</v>
      </c>
      <c r="D47" s="3">
        <v>30.5</v>
      </c>
      <c r="E47" s="3">
        <v>27.7</v>
      </c>
      <c r="G47">
        <v>31.5</v>
      </c>
    </row>
    <row r="48" spans="1:7">
      <c r="A48" s="1">
        <v>0.67708333333333337</v>
      </c>
      <c r="B48" s="3">
        <v>30.4</v>
      </c>
      <c r="C48" s="3">
        <v>30.2</v>
      </c>
      <c r="D48" s="3">
        <v>30.4</v>
      </c>
      <c r="E48" s="3">
        <v>27.6</v>
      </c>
      <c r="G48">
        <v>32.5</v>
      </c>
    </row>
    <row r="49" spans="1:7">
      <c r="A49" s="1">
        <v>0.71875</v>
      </c>
      <c r="B49" s="3">
        <v>30.3</v>
      </c>
      <c r="C49" s="3">
        <v>30.1</v>
      </c>
      <c r="D49" s="3">
        <v>30.3</v>
      </c>
      <c r="E49" s="3">
        <v>27.5</v>
      </c>
      <c r="G49">
        <v>33.5</v>
      </c>
    </row>
    <row r="50" spans="1:7">
      <c r="A50" s="1">
        <v>0.80208333333333337</v>
      </c>
      <c r="B50" s="3">
        <v>30.2</v>
      </c>
      <c r="C50" s="3">
        <v>30</v>
      </c>
      <c r="D50" s="3">
        <v>30.2</v>
      </c>
      <c r="E50" s="3">
        <v>27.4</v>
      </c>
      <c r="G50">
        <v>35.5</v>
      </c>
    </row>
    <row r="51" spans="1:7">
      <c r="A51" s="1">
        <v>0.84375</v>
      </c>
      <c r="B51" s="3">
        <v>30.1</v>
      </c>
      <c r="C51" s="3">
        <v>30</v>
      </c>
      <c r="D51" s="3">
        <v>30.2</v>
      </c>
      <c r="E51" s="3">
        <v>27.3</v>
      </c>
      <c r="G51">
        <v>36.5</v>
      </c>
    </row>
    <row r="52" spans="1:7">
      <c r="A52" s="4">
        <v>0.34375</v>
      </c>
      <c r="B52" s="3">
        <v>30</v>
      </c>
      <c r="C52" s="3">
        <v>29.5</v>
      </c>
      <c r="D52" s="3">
        <v>29.4</v>
      </c>
      <c r="E52" s="3">
        <v>27.1</v>
      </c>
      <c r="G52">
        <v>48</v>
      </c>
    </row>
    <row r="53" spans="1:7">
      <c r="A53" t="s">
        <v>257</v>
      </c>
      <c r="B53">
        <f>AVERAGE(B8:B52)</f>
        <v>30.04666666666667</v>
      </c>
      <c r="C53">
        <f>AVERAGE(C8:C52)</f>
        <v>29.884444444444437</v>
      </c>
      <c r="D53">
        <f>AVERAGE(D8:D52)</f>
        <v>29.968888888888891</v>
      </c>
      <c r="E53">
        <f>AVERAGE(E8:E52)</f>
        <v>27.244444444444433</v>
      </c>
    </row>
    <row r="54" spans="1:7">
      <c r="A54" t="s">
        <v>258</v>
      </c>
      <c r="B54">
        <f>STDEV(B8:B52)</f>
        <v>0.51636843787780429</v>
      </c>
      <c r="C54">
        <f>STDEV(C8:C52)</f>
        <v>0.69901084513486722</v>
      </c>
      <c r="D54">
        <f>STDEV(D8:D52)</f>
        <v>0.69701383259464966</v>
      </c>
      <c r="E54">
        <f>STDEV(E8:E52)</f>
        <v>0.31374247948651085</v>
      </c>
    </row>
    <row r="57" spans="1:7">
      <c r="B57">
        <f>AVERAGE(B53:D53)</f>
        <v>29.966666666666669</v>
      </c>
    </row>
    <row r="58" spans="1:7">
      <c r="B58">
        <f>AVERAGE(B54:D54)</f>
        <v>0.63746437186910709</v>
      </c>
    </row>
  </sheetData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5"/>
  <sheetViews>
    <sheetView topLeftCell="AB1" workbookViewId="0">
      <selection activeCell="AM45" sqref="AM45"/>
    </sheetView>
  </sheetViews>
  <sheetFormatPr baseColWidth="10" defaultRowHeight="13" x14ac:dyDescent="0"/>
  <cols>
    <col min="1" max="1" width="11.28515625" bestFit="1" customWidth="1"/>
    <col min="3" max="3" width="7.140625" customWidth="1"/>
    <col min="5" max="5" width="13.5703125" bestFit="1" customWidth="1"/>
    <col min="7" max="7" width="13.5703125" bestFit="1" customWidth="1"/>
    <col min="8" max="8" width="12.5703125" bestFit="1" customWidth="1"/>
    <col min="9" max="9" width="13.5703125" bestFit="1" customWidth="1"/>
    <col min="10" max="10" width="12.140625" bestFit="1" customWidth="1"/>
    <col min="11" max="11" width="12.140625" customWidth="1"/>
    <col min="12" max="12" width="12.140625" bestFit="1" customWidth="1"/>
    <col min="13" max="13" width="12.140625" customWidth="1"/>
    <col min="14" max="14" width="12" bestFit="1" customWidth="1"/>
    <col min="15" max="15" width="13.5703125" bestFit="1" customWidth="1"/>
    <col min="16" max="16" width="12" bestFit="1" customWidth="1"/>
    <col min="17" max="17" width="13.5703125" bestFit="1" customWidth="1"/>
    <col min="18" max="18" width="12.140625" bestFit="1" customWidth="1"/>
    <col min="19" max="19" width="12.140625" customWidth="1"/>
    <col min="20" max="20" width="12" bestFit="1" customWidth="1"/>
    <col min="21" max="21" width="13.5703125" bestFit="1" customWidth="1"/>
    <col min="22" max="22" width="13.7109375" bestFit="1" customWidth="1"/>
    <col min="23" max="23" width="13.7109375" customWidth="1"/>
    <col min="24" max="24" width="12.42578125" bestFit="1" customWidth="1"/>
    <col min="25" max="25" width="13.5703125" bestFit="1" customWidth="1"/>
    <col min="27" max="27" width="13" bestFit="1" customWidth="1"/>
    <col min="29" max="29" width="13.5703125" bestFit="1" customWidth="1"/>
    <col min="31" max="31" width="13.5703125" bestFit="1" customWidth="1"/>
  </cols>
  <sheetData>
    <row r="1" spans="1:32">
      <c r="A1" t="s">
        <v>906</v>
      </c>
      <c r="B1" t="s">
        <v>633</v>
      </c>
      <c r="C1" t="s">
        <v>289</v>
      </c>
      <c r="D1" s="61" t="s">
        <v>905</v>
      </c>
      <c r="E1" s="61" t="s">
        <v>917</v>
      </c>
      <c r="F1" s="60" t="s">
        <v>907</v>
      </c>
      <c r="G1" s="60" t="s">
        <v>917</v>
      </c>
      <c r="H1" t="s">
        <v>908</v>
      </c>
      <c r="I1" t="s">
        <v>917</v>
      </c>
      <c r="J1" s="60" t="s">
        <v>909</v>
      </c>
      <c r="K1" s="60" t="s">
        <v>917</v>
      </c>
      <c r="L1" t="s">
        <v>910</v>
      </c>
      <c r="M1" t="s">
        <v>917</v>
      </c>
      <c r="N1" s="60" t="s">
        <v>911</v>
      </c>
      <c r="O1" s="60" t="s">
        <v>917</v>
      </c>
      <c r="P1" s="61" t="s">
        <v>912</v>
      </c>
      <c r="Q1" s="61" t="s">
        <v>917</v>
      </c>
      <c r="R1" s="60" t="s">
        <v>913</v>
      </c>
      <c r="S1" s="60" t="s">
        <v>917</v>
      </c>
      <c r="T1" t="s">
        <v>914</v>
      </c>
      <c r="U1" t="s">
        <v>917</v>
      </c>
      <c r="V1" s="60" t="s">
        <v>915</v>
      </c>
      <c r="W1" s="60" t="s">
        <v>917</v>
      </c>
      <c r="X1" s="62" t="s">
        <v>916</v>
      </c>
      <c r="Y1" s="62" t="s">
        <v>917</v>
      </c>
      <c r="Z1" s="45" t="s">
        <v>929</v>
      </c>
      <c r="AA1" s="45" t="s">
        <v>930</v>
      </c>
      <c r="AB1" s="62" t="s">
        <v>932</v>
      </c>
      <c r="AC1" s="62" t="s">
        <v>917</v>
      </c>
      <c r="AD1" s="45" t="s">
        <v>933</v>
      </c>
      <c r="AE1" s="45" t="s">
        <v>917</v>
      </c>
      <c r="AF1" s="45"/>
    </row>
    <row r="2" spans="1:32">
      <c r="A2" t="s">
        <v>895</v>
      </c>
      <c r="B2" t="s">
        <v>896</v>
      </c>
      <c r="C2" t="s">
        <v>897</v>
      </c>
      <c r="D2">
        <v>793.930612</v>
      </c>
      <c r="E2">
        <f>D2/2.44</f>
        <v>325.38139836065574</v>
      </c>
      <c r="F2">
        <v>24.110620999999998</v>
      </c>
      <c r="G2">
        <f>F2/1.94</f>
        <v>12.428155154639175</v>
      </c>
      <c r="H2">
        <v>27.69583068</v>
      </c>
      <c r="I2">
        <f>H2/20.96</f>
        <v>1.3213659675572518</v>
      </c>
      <c r="J2">
        <v>248.70015069999999</v>
      </c>
      <c r="K2">
        <f>J2/8.053</f>
        <v>30.882919495840056</v>
      </c>
      <c r="L2">
        <v>108.25302809999999</v>
      </c>
      <c r="M2">
        <f>L2/33.058</f>
        <v>3.2746393641478613</v>
      </c>
      <c r="N2">
        <v>19.583909689999999</v>
      </c>
      <c r="O2">
        <f>N2/11.9223</f>
        <v>1.6426284936631355</v>
      </c>
      <c r="P2">
        <v>691.15674149999995</v>
      </c>
      <c r="Q2">
        <f>P2/273.91</f>
        <v>2.5232986802234305</v>
      </c>
      <c r="R2">
        <v>5.7554560070000003</v>
      </c>
      <c r="S2">
        <f>R2/2.62</f>
        <v>2.1967389339694656</v>
      </c>
      <c r="T2">
        <v>167.91611760000001</v>
      </c>
      <c r="U2">
        <f>T2/96.33</f>
        <v>1.7431342011834321</v>
      </c>
      <c r="V2">
        <v>0.53277448800000005</v>
      </c>
      <c r="W2">
        <f>V2/0.508</f>
        <v>1.0487686771653544</v>
      </c>
      <c r="X2">
        <v>3.0787394670000001</v>
      </c>
      <c r="Y2">
        <f>X2/0.515</f>
        <v>5.9781348873786406</v>
      </c>
      <c r="Z2">
        <v>125.3254653</v>
      </c>
      <c r="AA2">
        <f>Z2/27.64</f>
        <v>4.5342064146164978</v>
      </c>
      <c r="AB2">
        <v>13.934421840000001</v>
      </c>
      <c r="AC2">
        <f>AB2/5.25</f>
        <v>2.6541755885714289</v>
      </c>
      <c r="AD2">
        <v>18.4727812</v>
      </c>
      <c r="AE2">
        <f>AD2/5.63</f>
        <v>3.281133428063943</v>
      </c>
    </row>
    <row r="3" spans="1:32">
      <c r="A3" t="s">
        <v>895</v>
      </c>
      <c r="B3" t="s">
        <v>896</v>
      </c>
      <c r="C3" t="s">
        <v>898</v>
      </c>
      <c r="D3">
        <v>552.28873669999996</v>
      </c>
      <c r="E3">
        <f t="shared" ref="E3:E47" si="0">D3/2.44</f>
        <v>226.34784290983606</v>
      </c>
      <c r="F3" s="45">
        <v>19.113617980000001</v>
      </c>
      <c r="G3">
        <f t="shared" ref="G3:G47" si="1">F3/1.94</f>
        <v>9.8523804020618559</v>
      </c>
      <c r="H3" s="41">
        <v>20.964293649999998</v>
      </c>
      <c r="I3" s="41">
        <f t="shared" ref="I3:I46" si="2">H3/20.96</f>
        <v>1.0002048497137404</v>
      </c>
      <c r="J3">
        <v>127.10370880000001</v>
      </c>
      <c r="K3">
        <f t="shared" ref="K3:K47" si="3">J3/8.053</f>
        <v>15.783398584378492</v>
      </c>
      <c r="L3">
        <v>85.817243160000004</v>
      </c>
      <c r="M3">
        <f t="shared" ref="M3:M47" si="4">L3/33.058</f>
        <v>2.595959923770343</v>
      </c>
      <c r="N3">
        <v>15.887963600000001</v>
      </c>
      <c r="O3">
        <f t="shared" ref="O3:O46" si="5">N3/11.9223</f>
        <v>1.3326257181919596</v>
      </c>
      <c r="P3">
        <v>634.41316340000003</v>
      </c>
      <c r="Q3">
        <f t="shared" ref="Q3:Q47" si="6">P3/273.91</f>
        <v>2.3161372837793435</v>
      </c>
      <c r="R3" s="41">
        <v>2.6205367069999999</v>
      </c>
      <c r="S3" s="41">
        <f t="shared" ref="S3:S46" si="7">R3/2.62</f>
        <v>1.0002048499999998</v>
      </c>
      <c r="T3" s="41">
        <v>96.326598529999998</v>
      </c>
      <c r="U3" s="41">
        <f t="shared" ref="U3:U46" si="8">T3/96.33</f>
        <v>0.99996468940101735</v>
      </c>
      <c r="V3" s="41">
        <v>0.50810397299999999</v>
      </c>
      <c r="W3" s="41">
        <f t="shared" ref="W3:W46" si="9">V3/0.508</f>
        <v>1.0002046712598425</v>
      </c>
      <c r="X3">
        <v>3.28620461</v>
      </c>
      <c r="Y3">
        <f t="shared" ref="Y3:Y47" si="10">X3/0.515</f>
        <v>6.3809798252427186</v>
      </c>
      <c r="Z3">
        <v>116.9119747</v>
      </c>
      <c r="AA3">
        <f t="shared" ref="AA3:AA47" si="11">Z3/27.64</f>
        <v>4.2298109515195366</v>
      </c>
      <c r="AB3">
        <v>10.225629440000001</v>
      </c>
      <c r="AC3">
        <f t="shared" ref="AC3:AC47" si="12">AB3/5.25</f>
        <v>1.9477389409523811</v>
      </c>
      <c r="AD3">
        <v>42.812766199999999</v>
      </c>
      <c r="AE3">
        <f t="shared" ref="AE3:AE47" si="13">AD3/5.63</f>
        <v>7.6043989698046177</v>
      </c>
    </row>
    <row r="4" spans="1:32">
      <c r="A4" t="s">
        <v>895</v>
      </c>
      <c r="B4" t="s">
        <v>896</v>
      </c>
      <c r="C4" t="s">
        <v>899</v>
      </c>
      <c r="D4">
        <v>1122.534699</v>
      </c>
      <c r="E4">
        <f t="shared" si="0"/>
        <v>460.05520450819677</v>
      </c>
      <c r="F4">
        <v>37.370268500000002</v>
      </c>
      <c r="G4">
        <f t="shared" si="1"/>
        <v>19.263025000000003</v>
      </c>
      <c r="H4">
        <v>96.368229249999999</v>
      </c>
      <c r="I4">
        <f t="shared" si="2"/>
        <v>4.597720861164122</v>
      </c>
      <c r="J4">
        <v>231.8667849</v>
      </c>
      <c r="K4">
        <f t="shared" si="3"/>
        <v>28.792597156339248</v>
      </c>
      <c r="L4">
        <v>142.7307485</v>
      </c>
      <c r="M4">
        <f t="shared" si="4"/>
        <v>4.3175857129892918</v>
      </c>
      <c r="N4">
        <v>21.965270449999998</v>
      </c>
      <c r="O4">
        <f t="shared" si="5"/>
        <v>1.8423685404661851</v>
      </c>
      <c r="P4">
        <v>1289.453763</v>
      </c>
      <c r="Q4">
        <f t="shared" si="6"/>
        <v>4.7075819174181293</v>
      </c>
      <c r="R4">
        <v>4.2589142750000004</v>
      </c>
      <c r="S4">
        <f t="shared" si="7"/>
        <v>1.6255397996183207</v>
      </c>
      <c r="T4">
        <v>327.90915189999998</v>
      </c>
      <c r="U4">
        <f t="shared" si="8"/>
        <v>3.4040190169210005</v>
      </c>
      <c r="V4">
        <v>1.471362123</v>
      </c>
      <c r="W4">
        <f t="shared" si="9"/>
        <v>2.8963821318897636</v>
      </c>
      <c r="X4">
        <v>3.826058921</v>
      </c>
      <c r="Y4">
        <f t="shared" si="10"/>
        <v>7.4292406233009709</v>
      </c>
      <c r="Z4">
        <v>145.09738010000001</v>
      </c>
      <c r="AA4">
        <f t="shared" si="11"/>
        <v>5.2495434189580319</v>
      </c>
      <c r="AB4">
        <v>12.0386773</v>
      </c>
      <c r="AC4">
        <f t="shared" si="12"/>
        <v>2.2930813904761904</v>
      </c>
      <c r="AD4">
        <v>41.715369199999998</v>
      </c>
      <c r="AE4">
        <f t="shared" si="13"/>
        <v>7.409479431616341</v>
      </c>
    </row>
    <row r="5" spans="1:32">
      <c r="A5" t="s">
        <v>895</v>
      </c>
      <c r="B5" t="s">
        <v>896</v>
      </c>
      <c r="C5" t="s">
        <v>897</v>
      </c>
      <c r="D5">
        <v>497.8438587</v>
      </c>
      <c r="E5">
        <f t="shared" si="0"/>
        <v>204.03436831967213</v>
      </c>
      <c r="F5">
        <v>35.670701260000001</v>
      </c>
      <c r="G5">
        <f t="shared" si="1"/>
        <v>18.386959412371134</v>
      </c>
      <c r="H5">
        <v>28.973612580000001</v>
      </c>
      <c r="I5">
        <f t="shared" si="2"/>
        <v>1.3823288444656487</v>
      </c>
      <c r="J5">
        <v>163.89950339999999</v>
      </c>
      <c r="K5">
        <f t="shared" si="3"/>
        <v>20.35260193716627</v>
      </c>
      <c r="L5">
        <v>89.884534759999994</v>
      </c>
      <c r="M5">
        <f t="shared" si="4"/>
        <v>2.7189949410127654</v>
      </c>
      <c r="N5">
        <v>24.363806950000001</v>
      </c>
      <c r="O5">
        <f t="shared" si="5"/>
        <v>2.0435492270786679</v>
      </c>
      <c r="P5">
        <v>558.81083739999997</v>
      </c>
      <c r="Q5">
        <f t="shared" si="6"/>
        <v>2.0401257252382168</v>
      </c>
      <c r="R5">
        <v>2.744736536</v>
      </c>
      <c r="S5">
        <f t="shared" si="7"/>
        <v>1.0476093648854961</v>
      </c>
      <c r="T5">
        <v>160.1560336</v>
      </c>
      <c r="U5">
        <f t="shared" si="8"/>
        <v>1.6625769085435482</v>
      </c>
      <c r="V5">
        <v>1.0892494159999999</v>
      </c>
      <c r="W5">
        <f t="shared" si="9"/>
        <v>2.1441917637795274</v>
      </c>
      <c r="X5">
        <v>2.7520200579999998</v>
      </c>
      <c r="Y5">
        <f t="shared" si="10"/>
        <v>5.3437282679611648</v>
      </c>
      <c r="Z5">
        <v>98.329303809999999</v>
      </c>
      <c r="AA5">
        <f t="shared" si="11"/>
        <v>3.5575001378437046</v>
      </c>
      <c r="AB5">
        <v>15.3886483</v>
      </c>
      <c r="AC5">
        <f t="shared" si="12"/>
        <v>2.9311711047619049</v>
      </c>
      <c r="AD5">
        <v>34.292355100000002</v>
      </c>
      <c r="AE5">
        <f t="shared" si="13"/>
        <v>6.0910044582593255</v>
      </c>
    </row>
    <row r="6" spans="1:32">
      <c r="A6" t="s">
        <v>895</v>
      </c>
      <c r="B6" t="s">
        <v>896</v>
      </c>
      <c r="C6" t="s">
        <v>899</v>
      </c>
      <c r="D6">
        <v>1184.4219210000001</v>
      </c>
      <c r="E6">
        <f t="shared" si="0"/>
        <v>485.41882008196728</v>
      </c>
      <c r="F6">
        <v>76.538153609999995</v>
      </c>
      <c r="G6">
        <f t="shared" si="1"/>
        <v>39.452656499999996</v>
      </c>
      <c r="H6">
        <v>96.432030850000004</v>
      </c>
      <c r="I6">
        <f t="shared" si="2"/>
        <v>4.600764830629771</v>
      </c>
      <c r="J6">
        <v>359.89706489999998</v>
      </c>
      <c r="K6">
        <f t="shared" si="3"/>
        <v>44.691054873960006</v>
      </c>
      <c r="L6">
        <v>184.15463</v>
      </c>
      <c r="M6">
        <f t="shared" si="4"/>
        <v>5.5706524895637965</v>
      </c>
      <c r="N6">
        <v>38.713742060000001</v>
      </c>
      <c r="O6">
        <f t="shared" si="5"/>
        <v>3.2471706013101502</v>
      </c>
      <c r="P6">
        <v>940.07630159999997</v>
      </c>
      <c r="Q6">
        <f t="shared" si="6"/>
        <v>3.4320627271731587</v>
      </c>
      <c r="R6">
        <v>10.98990639</v>
      </c>
      <c r="S6">
        <f t="shared" si="7"/>
        <v>4.1946207595419844</v>
      </c>
      <c r="T6">
        <v>343.64469070000001</v>
      </c>
      <c r="U6">
        <f t="shared" si="8"/>
        <v>3.5673693626077028</v>
      </c>
      <c r="V6">
        <v>2.3371881179999998</v>
      </c>
      <c r="W6">
        <f t="shared" si="9"/>
        <v>4.6007640118110231</v>
      </c>
      <c r="X6">
        <v>6.2583038750000002</v>
      </c>
      <c r="Y6">
        <f t="shared" si="10"/>
        <v>12.1520463592233</v>
      </c>
      <c r="Z6">
        <v>219.280551</v>
      </c>
      <c r="AA6">
        <f t="shared" si="11"/>
        <v>7.9334497467438494</v>
      </c>
      <c r="AB6">
        <v>24.937791369999999</v>
      </c>
      <c r="AC6">
        <f t="shared" si="12"/>
        <v>4.7500554990476189</v>
      </c>
      <c r="AD6">
        <v>84.405684199999996</v>
      </c>
      <c r="AE6">
        <f t="shared" si="13"/>
        <v>14.992128632326819</v>
      </c>
    </row>
    <row r="7" spans="1:32">
      <c r="A7" t="s">
        <v>895</v>
      </c>
      <c r="B7" t="s">
        <v>900</v>
      </c>
      <c r="C7" t="s">
        <v>901</v>
      </c>
      <c r="D7">
        <v>473.9046664</v>
      </c>
      <c r="E7">
        <f t="shared" si="0"/>
        <v>194.22322393442624</v>
      </c>
      <c r="F7">
        <v>103.2655477</v>
      </c>
      <c r="G7">
        <f t="shared" si="1"/>
        <v>53.229663762886602</v>
      </c>
      <c r="H7">
        <v>42.919118320000003</v>
      </c>
      <c r="I7">
        <f t="shared" si="2"/>
        <v>2.0476678587786261</v>
      </c>
      <c r="J7">
        <v>211.358531</v>
      </c>
      <c r="K7">
        <f t="shared" si="3"/>
        <v>26.245937042096109</v>
      </c>
      <c r="L7">
        <v>115.91165820000001</v>
      </c>
      <c r="M7">
        <f t="shared" si="4"/>
        <v>3.5063118821465307</v>
      </c>
      <c r="N7">
        <v>17.03246339</v>
      </c>
      <c r="O7">
        <f t="shared" si="5"/>
        <v>1.4286222784194325</v>
      </c>
      <c r="P7">
        <v>787.8550358</v>
      </c>
      <c r="Q7">
        <f t="shared" si="6"/>
        <v>2.8763281216457957</v>
      </c>
      <c r="R7">
        <v>5.005619169</v>
      </c>
      <c r="S7">
        <f t="shared" si="7"/>
        <v>1.9105416675572517</v>
      </c>
      <c r="T7">
        <v>156.5213014</v>
      </c>
      <c r="U7">
        <f t="shared" si="8"/>
        <v>1.6248448188518634</v>
      </c>
      <c r="V7">
        <v>1.769753629</v>
      </c>
      <c r="W7">
        <f t="shared" si="9"/>
        <v>3.4837669862204725</v>
      </c>
      <c r="X7">
        <v>1.7875107379999999</v>
      </c>
      <c r="Y7">
        <f t="shared" si="10"/>
        <v>3.4708946368932039</v>
      </c>
      <c r="Z7">
        <v>48.675359299999997</v>
      </c>
      <c r="AA7">
        <f t="shared" si="11"/>
        <v>1.7610477315484803</v>
      </c>
      <c r="AB7">
        <v>11.79666591</v>
      </c>
      <c r="AC7">
        <f t="shared" si="12"/>
        <v>2.246983982857143</v>
      </c>
      <c r="AD7">
        <v>14.920912700000001</v>
      </c>
      <c r="AE7">
        <f t="shared" si="13"/>
        <v>2.6502509236234459</v>
      </c>
    </row>
    <row r="8" spans="1:32">
      <c r="A8" t="s">
        <v>895</v>
      </c>
      <c r="B8" t="s">
        <v>900</v>
      </c>
      <c r="C8" t="s">
        <v>901</v>
      </c>
      <c r="D8">
        <v>528.30803900000001</v>
      </c>
      <c r="E8">
        <f t="shared" si="0"/>
        <v>216.5196881147541</v>
      </c>
      <c r="F8">
        <v>105.6695264</v>
      </c>
      <c r="G8">
        <f t="shared" si="1"/>
        <v>54.46882804123711</v>
      </c>
      <c r="H8">
        <v>31.054897629999999</v>
      </c>
      <c r="I8">
        <f t="shared" si="2"/>
        <v>1.4816267953244273</v>
      </c>
      <c r="J8">
        <v>179.77919209999999</v>
      </c>
      <c r="K8">
        <f t="shared" si="3"/>
        <v>22.324499205265116</v>
      </c>
      <c r="L8">
        <v>80.082525880000006</v>
      </c>
      <c r="M8">
        <f t="shared" si="4"/>
        <v>2.42248550668522</v>
      </c>
      <c r="N8">
        <v>22.733515709999999</v>
      </c>
      <c r="O8">
        <f t="shared" si="5"/>
        <v>1.9068062127274099</v>
      </c>
      <c r="P8">
        <v>747.14039379999997</v>
      </c>
      <c r="Q8">
        <f t="shared" si="6"/>
        <v>2.7276857135555472</v>
      </c>
      <c r="R8">
        <v>5.2418724189999999</v>
      </c>
      <c r="S8">
        <f t="shared" si="7"/>
        <v>2.000714663740458</v>
      </c>
      <c r="T8">
        <v>248.43918110000001</v>
      </c>
      <c r="U8">
        <f t="shared" si="8"/>
        <v>2.5790426772552686</v>
      </c>
      <c r="V8">
        <v>1.6896786640000001</v>
      </c>
      <c r="W8">
        <f t="shared" si="9"/>
        <v>3.3261391023622049</v>
      </c>
      <c r="X8">
        <v>2.074764853</v>
      </c>
      <c r="Y8">
        <f t="shared" si="10"/>
        <v>4.0286696174757282</v>
      </c>
      <c r="Z8">
        <v>86.137460509999997</v>
      </c>
      <c r="AA8">
        <f t="shared" si="11"/>
        <v>3.1164059518813314</v>
      </c>
      <c r="AB8">
        <v>10.626461900000001</v>
      </c>
      <c r="AC8">
        <f t="shared" si="12"/>
        <v>2.0240879809523813</v>
      </c>
      <c r="AD8">
        <v>21.7973839</v>
      </c>
      <c r="AE8">
        <f t="shared" si="13"/>
        <v>3.8716490053285968</v>
      </c>
    </row>
    <row r="9" spans="1:32">
      <c r="A9" t="s">
        <v>895</v>
      </c>
      <c r="B9" t="s">
        <v>900</v>
      </c>
      <c r="C9" t="s">
        <v>902</v>
      </c>
      <c r="D9">
        <v>541.69910119999997</v>
      </c>
      <c r="E9">
        <f t="shared" si="0"/>
        <v>222.00782836065574</v>
      </c>
      <c r="F9">
        <v>78.313038129999995</v>
      </c>
      <c r="G9">
        <f t="shared" si="1"/>
        <v>40.367545427835047</v>
      </c>
      <c r="H9">
        <v>52.875003409999998</v>
      </c>
      <c r="I9">
        <f t="shared" si="2"/>
        <v>2.5226623764312976</v>
      </c>
      <c r="J9">
        <v>167.86767209999999</v>
      </c>
      <c r="K9">
        <f t="shared" si="3"/>
        <v>20.845358512355642</v>
      </c>
      <c r="L9">
        <v>103.33467330000001</v>
      </c>
      <c r="M9">
        <f t="shared" si="4"/>
        <v>3.125859800955896</v>
      </c>
      <c r="N9">
        <v>25.833668329999998</v>
      </c>
      <c r="O9">
        <f t="shared" si="5"/>
        <v>2.166835956988165</v>
      </c>
      <c r="P9">
        <v>450.28082119999999</v>
      </c>
      <c r="Q9">
        <f t="shared" si="6"/>
        <v>1.6439006286736517</v>
      </c>
      <c r="R9">
        <v>4.2609662159999999</v>
      </c>
      <c r="S9">
        <f t="shared" si="7"/>
        <v>1.6263229832061068</v>
      </c>
      <c r="T9">
        <v>167.86767209999999</v>
      </c>
      <c r="U9">
        <f t="shared" si="8"/>
        <v>1.7426312893179694</v>
      </c>
      <c r="V9">
        <v>1.389450026</v>
      </c>
      <c r="W9">
        <f t="shared" si="9"/>
        <v>2.7351378464566927</v>
      </c>
      <c r="X9">
        <v>2.057792659</v>
      </c>
      <c r="Y9">
        <f t="shared" si="10"/>
        <v>3.9957139009708738</v>
      </c>
      <c r="Z9">
        <v>92.926267330000002</v>
      </c>
      <c r="AA9">
        <f t="shared" si="11"/>
        <v>3.362021249276411</v>
      </c>
      <c r="AB9">
        <v>8.809499228</v>
      </c>
      <c r="AC9">
        <f t="shared" si="12"/>
        <v>1.677999852952381</v>
      </c>
      <c r="AD9">
        <v>19.777448100000001</v>
      </c>
      <c r="AE9">
        <f t="shared" si="13"/>
        <v>3.5128682238010658</v>
      </c>
    </row>
    <row r="10" spans="1:32">
      <c r="A10" t="s">
        <v>895</v>
      </c>
      <c r="B10" t="s">
        <v>900</v>
      </c>
      <c r="C10" t="s">
        <v>902</v>
      </c>
      <c r="D10">
        <v>470.33051819999997</v>
      </c>
      <c r="E10">
        <f t="shared" si="0"/>
        <v>192.75840909836066</v>
      </c>
      <c r="F10">
        <v>149.72199090000001</v>
      </c>
      <c r="G10">
        <f t="shared" si="1"/>
        <v>77.176283969072173</v>
      </c>
      <c r="H10">
        <v>121.6120459</v>
      </c>
      <c r="I10">
        <f t="shared" si="2"/>
        <v>5.8021014265267175</v>
      </c>
      <c r="J10">
        <v>368.6587854</v>
      </c>
      <c r="K10">
        <f t="shared" si="3"/>
        <v>45.779061889978884</v>
      </c>
      <c r="L10">
        <v>116.12024099999999</v>
      </c>
      <c r="M10">
        <f t="shared" si="4"/>
        <v>3.5126214834533243</v>
      </c>
      <c r="N10">
        <v>34.126226539999998</v>
      </c>
      <c r="O10">
        <f t="shared" si="5"/>
        <v>2.862386162066044</v>
      </c>
      <c r="P10">
        <v>696.60537929999998</v>
      </c>
      <c r="Q10">
        <f t="shared" si="6"/>
        <v>2.5431907535321816</v>
      </c>
      <c r="R10">
        <v>8.1462852209999994</v>
      </c>
      <c r="S10">
        <f t="shared" si="7"/>
        <v>3.1092691683206102</v>
      </c>
      <c r="T10">
        <v>273.00981230000002</v>
      </c>
      <c r="U10">
        <f t="shared" si="8"/>
        <v>2.8341099584760721</v>
      </c>
      <c r="V10">
        <v>2.5073133849999998</v>
      </c>
      <c r="W10">
        <f t="shared" si="9"/>
        <v>4.9356562696850386</v>
      </c>
      <c r="X10">
        <v>1.426086322</v>
      </c>
      <c r="Y10">
        <f t="shared" si="10"/>
        <v>2.7690996543689317</v>
      </c>
      <c r="Z10">
        <v>58.655634800000001</v>
      </c>
      <c r="AA10">
        <f t="shared" si="11"/>
        <v>2.1221286107091171</v>
      </c>
      <c r="AB10">
        <v>7.2054005749999996</v>
      </c>
      <c r="AC10">
        <f t="shared" si="12"/>
        <v>1.3724572523809524</v>
      </c>
      <c r="AD10">
        <v>12.916275799999999</v>
      </c>
      <c r="AE10">
        <f t="shared" si="13"/>
        <v>2.2941875310834812</v>
      </c>
    </row>
    <row r="11" spans="1:32">
      <c r="A11" t="s">
        <v>895</v>
      </c>
      <c r="B11" t="s">
        <v>900</v>
      </c>
      <c r="C11" t="s">
        <v>903</v>
      </c>
      <c r="D11">
        <v>566.32915390000005</v>
      </c>
      <c r="E11">
        <f t="shared" si="0"/>
        <v>232.10211225409839</v>
      </c>
      <c r="F11">
        <v>121.56573210000001</v>
      </c>
      <c r="G11">
        <f t="shared" si="1"/>
        <v>62.662748505154646</v>
      </c>
      <c r="H11">
        <v>62.203598190000001</v>
      </c>
      <c r="I11">
        <f t="shared" si="2"/>
        <v>2.967728921278626</v>
      </c>
      <c r="J11">
        <v>248.81439270000001</v>
      </c>
      <c r="K11">
        <f t="shared" si="3"/>
        <v>30.897105761827888</v>
      </c>
      <c r="L11">
        <v>121.56573210000001</v>
      </c>
      <c r="M11">
        <f t="shared" si="4"/>
        <v>3.6773468479641842</v>
      </c>
      <c r="N11" s="41">
        <v>11.922317530000001</v>
      </c>
      <c r="O11" s="41">
        <f t="shared" si="5"/>
        <v>1.0000014703538747</v>
      </c>
      <c r="P11">
        <v>681.30815080000002</v>
      </c>
      <c r="Q11">
        <f t="shared" si="6"/>
        <v>2.4873431083202511</v>
      </c>
      <c r="R11">
        <v>7.5978582550000002</v>
      </c>
      <c r="S11">
        <f>R11/2.62</f>
        <v>2.8999458988549618</v>
      </c>
      <c r="T11">
        <v>188.56604849999999</v>
      </c>
      <c r="U11">
        <f t="shared" si="8"/>
        <v>1.9575007630021799</v>
      </c>
      <c r="V11">
        <v>1.6922305449999999</v>
      </c>
      <c r="W11">
        <f t="shared" si="9"/>
        <v>3.3311624901574799</v>
      </c>
      <c r="X11">
        <v>1.248481682</v>
      </c>
      <c r="Y11">
        <f t="shared" si="10"/>
        <v>2.424236275728155</v>
      </c>
      <c r="Z11">
        <v>56.006806689999998</v>
      </c>
      <c r="AA11">
        <f t="shared" si="11"/>
        <v>2.0262954663531114</v>
      </c>
      <c r="AB11">
        <v>7.3352053110000002</v>
      </c>
      <c r="AC11">
        <f t="shared" si="12"/>
        <v>1.3971819640000001</v>
      </c>
      <c r="AD11">
        <v>19.823764499999999</v>
      </c>
      <c r="AE11">
        <f t="shared" si="13"/>
        <v>3.5210949378330372</v>
      </c>
    </row>
    <row r="12" spans="1:32">
      <c r="A12" t="s">
        <v>895</v>
      </c>
      <c r="B12" t="s">
        <v>900</v>
      </c>
      <c r="C12" t="s">
        <v>903</v>
      </c>
      <c r="E12" t="s">
        <v>272</v>
      </c>
      <c r="G12" t="s">
        <v>272</v>
      </c>
      <c r="I12" t="s">
        <v>272</v>
      </c>
      <c r="K12" t="s">
        <v>272</v>
      </c>
      <c r="M12" t="s">
        <v>272</v>
      </c>
      <c r="O12" t="s">
        <v>272</v>
      </c>
      <c r="Q12" t="s">
        <v>272</v>
      </c>
      <c r="S12" t="s">
        <v>272</v>
      </c>
      <c r="U12" t="s">
        <v>272</v>
      </c>
      <c r="W12" t="s">
        <v>272</v>
      </c>
      <c r="X12">
        <v>2.7364691849999998</v>
      </c>
      <c r="Y12">
        <f t="shared" si="10"/>
        <v>5.3135323980582516</v>
      </c>
      <c r="Z12">
        <v>59.253576150000001</v>
      </c>
      <c r="AA12">
        <f t="shared" si="11"/>
        <v>2.143761799927641</v>
      </c>
      <c r="AB12">
        <v>6.6905877589999996</v>
      </c>
      <c r="AC12">
        <f t="shared" si="12"/>
        <v>1.2743976683809524</v>
      </c>
      <c r="AD12">
        <v>23.3851853</v>
      </c>
      <c r="AE12">
        <f t="shared" si="13"/>
        <v>4.1536741207815275</v>
      </c>
    </row>
    <row r="13" spans="1:32">
      <c r="A13" t="s">
        <v>904</v>
      </c>
      <c r="B13" t="s">
        <v>896</v>
      </c>
      <c r="C13" t="s">
        <v>897</v>
      </c>
      <c r="D13">
        <v>869.75241889999995</v>
      </c>
      <c r="E13">
        <f t="shared" si="0"/>
        <v>356.45590938524589</v>
      </c>
      <c r="F13">
        <v>48.742588310000002</v>
      </c>
      <c r="G13">
        <f t="shared" si="1"/>
        <v>25.12504552061856</v>
      </c>
      <c r="H13">
        <v>80.102625450000005</v>
      </c>
      <c r="I13">
        <f t="shared" si="2"/>
        <v>3.8216901455152672</v>
      </c>
      <c r="J13">
        <v>266.33735139999999</v>
      </c>
      <c r="K13">
        <f t="shared" si="3"/>
        <v>33.073059903141683</v>
      </c>
      <c r="L13">
        <v>167.78201770000001</v>
      </c>
      <c r="M13">
        <f t="shared" si="4"/>
        <v>5.0753831962006171</v>
      </c>
      <c r="N13">
        <v>38.242659680000003</v>
      </c>
      <c r="O13">
        <f t="shared" si="5"/>
        <v>3.2076578915142213</v>
      </c>
      <c r="P13">
        <v>1230.0156669999999</v>
      </c>
      <c r="Q13">
        <f t="shared" si="6"/>
        <v>4.4905832828301255</v>
      </c>
      <c r="R13">
        <v>6.7604109980000002</v>
      </c>
      <c r="S13">
        <f t="shared" si="7"/>
        <v>2.5803095412213741</v>
      </c>
      <c r="T13">
        <v>201.84596790000001</v>
      </c>
      <c r="U13">
        <f t="shared" si="8"/>
        <v>2.0953593677981939</v>
      </c>
      <c r="V13">
        <v>2.3087483940000002</v>
      </c>
      <c r="W13">
        <f t="shared" si="9"/>
        <v>4.544780303149607</v>
      </c>
      <c r="X13">
        <v>2.6654078370000001</v>
      </c>
      <c r="Y13">
        <f t="shared" si="10"/>
        <v>5.1755491980582526</v>
      </c>
      <c r="Z13">
        <v>69.847067580000001</v>
      </c>
      <c r="AA13">
        <f t="shared" si="11"/>
        <v>2.5270284942112879</v>
      </c>
      <c r="AB13">
        <v>10.542489890000001</v>
      </c>
      <c r="AC13">
        <f t="shared" si="12"/>
        <v>2.0080933123809523</v>
      </c>
      <c r="AD13">
        <v>28.002615599999999</v>
      </c>
      <c r="AE13">
        <f t="shared" si="13"/>
        <v>4.9738215985790406</v>
      </c>
    </row>
    <row r="14" spans="1:32">
      <c r="A14" t="s">
        <v>904</v>
      </c>
      <c r="B14" t="s">
        <v>896</v>
      </c>
      <c r="C14" t="s">
        <v>899</v>
      </c>
      <c r="D14">
        <v>462.67644489999998</v>
      </c>
      <c r="E14">
        <f t="shared" si="0"/>
        <v>189.6214938114754</v>
      </c>
      <c r="F14">
        <v>47.127817460000003</v>
      </c>
      <c r="G14">
        <f t="shared" si="1"/>
        <v>24.292689412371136</v>
      </c>
      <c r="H14">
        <v>101.0206882</v>
      </c>
      <c r="I14">
        <f t="shared" si="2"/>
        <v>4.8196893225190838</v>
      </c>
      <c r="J14">
        <v>248.7421118</v>
      </c>
      <c r="K14">
        <f t="shared" si="3"/>
        <v>30.888130113001363</v>
      </c>
      <c r="L14">
        <v>92.102833239999995</v>
      </c>
      <c r="M14">
        <f t="shared" si="4"/>
        <v>2.7860981680682437</v>
      </c>
      <c r="N14">
        <v>34.900447540000002</v>
      </c>
      <c r="O14">
        <f t="shared" si="5"/>
        <v>2.9273250580844303</v>
      </c>
      <c r="P14">
        <v>543.89832609999996</v>
      </c>
      <c r="Q14">
        <f t="shared" si="6"/>
        <v>1.9856826187433825</v>
      </c>
      <c r="R14">
        <v>7.5956510660000003</v>
      </c>
      <c r="S14">
        <f t="shared" si="7"/>
        <v>2.8991034603053434</v>
      </c>
      <c r="T14">
        <v>385.83502379999999</v>
      </c>
      <c r="U14">
        <f t="shared" si="8"/>
        <v>4.0053464528184364</v>
      </c>
      <c r="V14">
        <v>3.6263218240000001</v>
      </c>
      <c r="W14">
        <f t="shared" si="9"/>
        <v>7.1384287874015753</v>
      </c>
      <c r="X14">
        <v>1.1913435029999999</v>
      </c>
      <c r="Y14">
        <f t="shared" si="10"/>
        <v>2.3132883553398056</v>
      </c>
      <c r="Z14">
        <v>40.51899564</v>
      </c>
      <c r="AA14">
        <f t="shared" si="11"/>
        <v>1.4659549797395079</v>
      </c>
      <c r="AB14">
        <v>7.9012552520000003</v>
      </c>
      <c r="AC14">
        <f t="shared" si="12"/>
        <v>1.5050010003809524</v>
      </c>
      <c r="AD14">
        <v>9.8588179700000005</v>
      </c>
      <c r="AE14">
        <f t="shared" si="13"/>
        <v>1.7511221971580819</v>
      </c>
    </row>
    <row r="15" spans="1:32">
      <c r="A15" t="s">
        <v>904</v>
      </c>
      <c r="B15" t="s">
        <v>896</v>
      </c>
      <c r="C15" t="s">
        <v>898</v>
      </c>
      <c r="D15">
        <v>838.82784939999999</v>
      </c>
      <c r="E15">
        <f t="shared" si="0"/>
        <v>343.78190549180329</v>
      </c>
      <c r="F15">
        <v>52.828806479999997</v>
      </c>
      <c r="G15">
        <f t="shared" si="1"/>
        <v>27.231343546391752</v>
      </c>
      <c r="H15">
        <v>105.657613</v>
      </c>
      <c r="I15">
        <f t="shared" si="2"/>
        <v>5.040916650763358</v>
      </c>
      <c r="J15">
        <v>278.83211230000001</v>
      </c>
      <c r="K15">
        <f t="shared" si="3"/>
        <v>34.624625890972304</v>
      </c>
      <c r="L15">
        <v>130.07977990000001</v>
      </c>
      <c r="M15">
        <f t="shared" si="4"/>
        <v>3.9348956349446431</v>
      </c>
      <c r="N15">
        <v>28.971977299999999</v>
      </c>
      <c r="O15">
        <f t="shared" si="5"/>
        <v>2.4300661197923219</v>
      </c>
      <c r="P15">
        <v>986.08232210000006</v>
      </c>
      <c r="Q15">
        <f t="shared" si="6"/>
        <v>3.6000230809389944</v>
      </c>
      <c r="R15">
        <v>8.1299862449999996</v>
      </c>
      <c r="S15">
        <f t="shared" si="7"/>
        <v>3.1030481851145035</v>
      </c>
      <c r="T15">
        <v>216.2544852</v>
      </c>
      <c r="U15">
        <f t="shared" si="8"/>
        <v>2.2449339271255062</v>
      </c>
      <c r="V15">
        <v>2.2292929990000001</v>
      </c>
      <c r="W15">
        <f t="shared" si="9"/>
        <v>4.3883720452755908</v>
      </c>
      <c r="X15">
        <v>3.4532402370000002</v>
      </c>
      <c r="Y15">
        <f t="shared" si="10"/>
        <v>6.705320848543689</v>
      </c>
      <c r="Z15">
        <v>91.491403109999993</v>
      </c>
      <c r="AA15">
        <f t="shared" si="11"/>
        <v>3.3101086508683064</v>
      </c>
      <c r="AB15">
        <v>14.17481806</v>
      </c>
      <c r="AC15">
        <f t="shared" si="12"/>
        <v>2.6999653447619045</v>
      </c>
      <c r="AD15">
        <v>45.717970899999997</v>
      </c>
      <c r="AE15">
        <f t="shared" si="13"/>
        <v>8.1204211190053286</v>
      </c>
    </row>
    <row r="16" spans="1:32">
      <c r="A16" t="s">
        <v>904</v>
      </c>
      <c r="B16" t="s">
        <v>896</v>
      </c>
      <c r="C16" t="s">
        <v>899</v>
      </c>
      <c r="D16">
        <v>918.3451288</v>
      </c>
      <c r="E16">
        <f t="shared" si="0"/>
        <v>376.3709544262295</v>
      </c>
      <c r="F16">
        <v>54.702829469999998</v>
      </c>
      <c r="G16">
        <f t="shared" si="1"/>
        <v>28.197334778350516</v>
      </c>
      <c r="H16">
        <v>77.361483340000007</v>
      </c>
      <c r="I16">
        <f t="shared" si="2"/>
        <v>3.6909104646946567</v>
      </c>
      <c r="J16">
        <v>229.15980719999999</v>
      </c>
      <c r="K16">
        <f t="shared" si="3"/>
        <v>28.456451906121938</v>
      </c>
      <c r="L16">
        <v>158.33944460000001</v>
      </c>
      <c r="M16">
        <f t="shared" si="4"/>
        <v>4.7897466452900961</v>
      </c>
      <c r="N16">
        <v>20.72849622</v>
      </c>
      <c r="O16">
        <f t="shared" si="5"/>
        <v>1.7386323293324275</v>
      </c>
      <c r="P16">
        <v>1360.1587219999999</v>
      </c>
      <c r="Q16">
        <f t="shared" si="6"/>
        <v>4.965714000949216</v>
      </c>
      <c r="R16">
        <v>5.8167375799999999</v>
      </c>
      <c r="S16">
        <f t="shared" si="7"/>
        <v>2.2201288473282443</v>
      </c>
      <c r="T16">
        <v>257.22318660000002</v>
      </c>
      <c r="U16">
        <f t="shared" si="8"/>
        <v>2.6702292805979448</v>
      </c>
      <c r="V16">
        <v>1.558556244</v>
      </c>
      <c r="W16">
        <f t="shared" si="9"/>
        <v>3.0680241023622048</v>
      </c>
      <c r="X16">
        <v>3.7052909230000002</v>
      </c>
      <c r="Y16">
        <f t="shared" si="10"/>
        <v>7.1947396563106798</v>
      </c>
      <c r="Z16">
        <v>117.47630359999999</v>
      </c>
      <c r="AA16">
        <f t="shared" si="11"/>
        <v>4.2502280607814757</v>
      </c>
      <c r="AB16">
        <v>16.64625723</v>
      </c>
      <c r="AC16">
        <f t="shared" si="12"/>
        <v>3.1707156628571429</v>
      </c>
      <c r="AD16">
        <v>56.831554300000001</v>
      </c>
      <c r="AE16">
        <f t="shared" si="13"/>
        <v>10.094414618117229</v>
      </c>
    </row>
    <row r="17" spans="1:31">
      <c r="A17" t="s">
        <v>904</v>
      </c>
      <c r="B17" t="s">
        <v>896</v>
      </c>
      <c r="C17" t="s">
        <v>898</v>
      </c>
      <c r="D17">
        <v>2068.5179189999999</v>
      </c>
      <c r="E17">
        <f t="shared" si="0"/>
        <v>847.75324549180323</v>
      </c>
      <c r="F17">
        <v>33.270584919999997</v>
      </c>
      <c r="G17">
        <f t="shared" si="1"/>
        <v>17.149786041237114</v>
      </c>
      <c r="H17">
        <v>59.281442910000003</v>
      </c>
      <c r="I17">
        <f t="shared" si="2"/>
        <v>2.8283131159351145</v>
      </c>
      <c r="J17">
        <v>305.74292930000001</v>
      </c>
      <c r="K17">
        <f t="shared" si="3"/>
        <v>37.966339165528375</v>
      </c>
      <c r="L17">
        <v>115.8549058</v>
      </c>
      <c r="M17">
        <f t="shared" si="4"/>
        <v>3.504595129771916</v>
      </c>
      <c r="N17">
        <v>34.844088050000003</v>
      </c>
      <c r="O17">
        <f t="shared" si="5"/>
        <v>2.9225978250840865</v>
      </c>
      <c r="P17">
        <v>3135.286877</v>
      </c>
      <c r="Q17">
        <f t="shared" si="6"/>
        <v>11.446412606330545</v>
      </c>
      <c r="R17">
        <v>5.1201118440000002</v>
      </c>
      <c r="S17">
        <f t="shared" si="7"/>
        <v>1.954241161832061</v>
      </c>
      <c r="T17">
        <v>133.08233970000001</v>
      </c>
      <c r="U17">
        <f t="shared" si="8"/>
        <v>1.3815253783867956</v>
      </c>
      <c r="V17">
        <v>2.5015841640000001</v>
      </c>
      <c r="W17">
        <f t="shared" si="9"/>
        <v>4.9243782755905512</v>
      </c>
      <c r="X17">
        <v>6.9158532079999997</v>
      </c>
      <c r="Y17">
        <f t="shared" si="10"/>
        <v>13.428841180582523</v>
      </c>
      <c r="Z17">
        <v>200.9995424</v>
      </c>
      <c r="AA17">
        <f t="shared" si="11"/>
        <v>7.2720529088277859</v>
      </c>
      <c r="AB17">
        <v>30.161373820000001</v>
      </c>
      <c r="AC17">
        <f t="shared" si="12"/>
        <v>5.7450235847619053</v>
      </c>
      <c r="AD17">
        <v>113.82133</v>
      </c>
      <c r="AE17">
        <f t="shared" si="13"/>
        <v>20.2169325044405</v>
      </c>
    </row>
    <row r="18" spans="1:31">
      <c r="A18" t="s">
        <v>904</v>
      </c>
      <c r="B18" t="s">
        <v>900</v>
      </c>
      <c r="C18" t="s">
        <v>902</v>
      </c>
      <c r="D18" s="45">
        <v>259.36117869999998</v>
      </c>
      <c r="E18">
        <f t="shared" si="0"/>
        <v>106.2955650409836</v>
      </c>
      <c r="F18">
        <v>96.480077260000002</v>
      </c>
      <c r="G18">
        <f t="shared" si="1"/>
        <v>49.731998587628865</v>
      </c>
      <c r="H18">
        <v>66.663530710000003</v>
      </c>
      <c r="I18">
        <f t="shared" si="2"/>
        <v>3.1805119613549619</v>
      </c>
      <c r="J18">
        <v>142.8964063</v>
      </c>
      <c r="K18">
        <f t="shared" si="3"/>
        <v>17.744493517943621</v>
      </c>
      <c r="L18">
        <v>87.963056129999998</v>
      </c>
      <c r="M18">
        <f t="shared" si="4"/>
        <v>2.660870474015367</v>
      </c>
      <c r="N18">
        <v>24.12001931</v>
      </c>
      <c r="O18">
        <f t="shared" si="5"/>
        <v>2.0231011893678232</v>
      </c>
      <c r="P18">
        <v>462.12908340000001</v>
      </c>
      <c r="Q18">
        <f t="shared" si="6"/>
        <v>1.6871566697090283</v>
      </c>
      <c r="R18">
        <v>3.978319537</v>
      </c>
      <c r="S18">
        <f t="shared" si="7"/>
        <v>1.5184425713740457</v>
      </c>
      <c r="T18">
        <v>164.14486679999999</v>
      </c>
      <c r="U18">
        <f t="shared" si="8"/>
        <v>1.7039849143568981</v>
      </c>
      <c r="V18">
        <v>2.6552097350000001</v>
      </c>
      <c r="W18">
        <f t="shared" si="9"/>
        <v>5.2267908169291344</v>
      </c>
      <c r="X18">
        <v>1.5552723230000001</v>
      </c>
      <c r="Y18">
        <f t="shared" si="10"/>
        <v>3.019946258252427</v>
      </c>
      <c r="Z18" s="41">
        <v>27.642548819999998</v>
      </c>
      <c r="AA18" s="41">
        <f t="shared" si="11"/>
        <v>1.0000922149059333</v>
      </c>
      <c r="AB18">
        <v>6.909830908</v>
      </c>
      <c r="AC18">
        <f t="shared" si="12"/>
        <v>1.3161582681904762</v>
      </c>
      <c r="AD18">
        <v>8.0349900499999993</v>
      </c>
      <c r="AE18">
        <f t="shared" si="13"/>
        <v>1.4271740763765541</v>
      </c>
    </row>
    <row r="19" spans="1:31">
      <c r="A19" t="s">
        <v>904</v>
      </c>
      <c r="B19" t="s">
        <v>900</v>
      </c>
      <c r="C19" t="s">
        <v>901</v>
      </c>
      <c r="D19">
        <v>508.19996190000001</v>
      </c>
      <c r="E19">
        <f t="shared" si="0"/>
        <v>208.27867290983608</v>
      </c>
      <c r="F19">
        <v>85.87813792</v>
      </c>
      <c r="G19">
        <f t="shared" si="1"/>
        <v>44.267081402061855</v>
      </c>
      <c r="H19">
        <v>44.969834560000002</v>
      </c>
      <c r="I19">
        <f t="shared" si="2"/>
        <v>2.1455073740458017</v>
      </c>
      <c r="J19">
        <v>201.90773039999999</v>
      </c>
      <c r="K19">
        <f t="shared" si="3"/>
        <v>25.072361902396619</v>
      </c>
      <c r="L19">
        <v>68.16152323</v>
      </c>
      <c r="M19">
        <f t="shared" si="4"/>
        <v>2.0618767992619031</v>
      </c>
      <c r="N19">
        <v>22.22665598</v>
      </c>
      <c r="O19">
        <f t="shared" si="5"/>
        <v>1.864292626422754</v>
      </c>
      <c r="P19">
        <v>926.674668</v>
      </c>
      <c r="Q19">
        <f t="shared" si="6"/>
        <v>3.3831355846810993</v>
      </c>
      <c r="R19">
        <v>4.4615726679999996</v>
      </c>
      <c r="S19">
        <f t="shared" si="7"/>
        <v>1.7028903312977097</v>
      </c>
      <c r="T19">
        <v>156.5940592</v>
      </c>
      <c r="U19">
        <f t="shared" si="8"/>
        <v>1.6256001162669989</v>
      </c>
      <c r="V19">
        <v>1.3111981020000001</v>
      </c>
      <c r="W19">
        <f t="shared" si="9"/>
        <v>2.5810986259842523</v>
      </c>
      <c r="X19">
        <v>1.3965344209999999</v>
      </c>
      <c r="Y19">
        <f t="shared" si="10"/>
        <v>2.711717322330097</v>
      </c>
      <c r="Z19">
        <v>29.772719970000001</v>
      </c>
      <c r="AA19">
        <f t="shared" si="11"/>
        <v>1.0771606356729377</v>
      </c>
      <c r="AB19">
        <v>5.8470293829999997</v>
      </c>
      <c r="AC19">
        <f t="shared" si="12"/>
        <v>1.1137198824761905</v>
      </c>
      <c r="AD19" s="41">
        <v>5.6271342899999999</v>
      </c>
      <c r="AE19" s="41">
        <f t="shared" si="13"/>
        <v>0.99949099289520427</v>
      </c>
    </row>
    <row r="20" spans="1:31">
      <c r="A20" t="s">
        <v>904</v>
      </c>
      <c r="B20" t="s">
        <v>900</v>
      </c>
      <c r="C20" t="s">
        <v>903</v>
      </c>
      <c r="D20">
        <v>388.40854569999999</v>
      </c>
      <c r="E20">
        <f t="shared" si="0"/>
        <v>159.18383020491802</v>
      </c>
      <c r="F20">
        <v>85.886704649999999</v>
      </c>
      <c r="G20">
        <f t="shared" si="1"/>
        <v>44.27149724226804</v>
      </c>
      <c r="H20">
        <v>83.925049599999994</v>
      </c>
      <c r="I20">
        <f t="shared" si="2"/>
        <v>4.0040577099236634</v>
      </c>
      <c r="J20">
        <v>216.4209342</v>
      </c>
      <c r="K20">
        <f t="shared" si="3"/>
        <v>26.874572730659381</v>
      </c>
      <c r="L20">
        <v>83.925049599999994</v>
      </c>
      <c r="M20">
        <f t="shared" si="4"/>
        <v>2.538721326154032</v>
      </c>
      <c r="N20">
        <v>18.69217978</v>
      </c>
      <c r="O20">
        <f t="shared" si="5"/>
        <v>1.5678333694001996</v>
      </c>
      <c r="P20">
        <v>370.86863879999999</v>
      </c>
      <c r="Q20">
        <f t="shared" si="6"/>
        <v>1.3539799160308128</v>
      </c>
      <c r="R20">
        <v>5.6217900629999997</v>
      </c>
      <c r="S20">
        <f t="shared" si="7"/>
        <v>2.1457213980916028</v>
      </c>
      <c r="T20">
        <v>175.7884224</v>
      </c>
      <c r="U20">
        <f t="shared" si="8"/>
        <v>1.8248564559327314</v>
      </c>
      <c r="V20">
        <v>2.0340609540000001</v>
      </c>
      <c r="W20">
        <f t="shared" si="9"/>
        <v>4.0040569960629924</v>
      </c>
      <c r="X20">
        <v>1.114312959</v>
      </c>
      <c r="Y20">
        <f t="shared" si="10"/>
        <v>2.1637144834951458</v>
      </c>
      <c r="Z20">
        <v>30.338919480000001</v>
      </c>
      <c r="AA20">
        <f t="shared" si="11"/>
        <v>1.0976454225759769</v>
      </c>
      <c r="AB20" s="41">
        <v>5.253461325</v>
      </c>
      <c r="AC20" s="41">
        <f t="shared" si="12"/>
        <v>1.0006592999999999</v>
      </c>
      <c r="AD20">
        <v>6.56313485</v>
      </c>
      <c r="AE20">
        <f t="shared" si="13"/>
        <v>1.1657433126110124</v>
      </c>
    </row>
    <row r="21" spans="1:31">
      <c r="A21" t="s">
        <v>904</v>
      </c>
      <c r="B21" t="s">
        <v>900</v>
      </c>
      <c r="C21" t="s">
        <v>902</v>
      </c>
      <c r="D21">
        <v>551.76828390000003</v>
      </c>
      <c r="E21">
        <f t="shared" si="0"/>
        <v>226.13454258196722</v>
      </c>
      <c r="F21">
        <v>54.071178850000003</v>
      </c>
      <c r="G21">
        <f t="shared" si="1"/>
        <v>27.871741675257734</v>
      </c>
      <c r="H21">
        <v>39.12777689</v>
      </c>
      <c r="I21">
        <f t="shared" si="2"/>
        <v>1.8667832485687021</v>
      </c>
      <c r="J21">
        <v>142.69469649999999</v>
      </c>
      <c r="K21">
        <f t="shared" si="3"/>
        <v>17.719445734508877</v>
      </c>
      <c r="L21">
        <v>83.872225830000005</v>
      </c>
      <c r="M21">
        <f t="shared" si="4"/>
        <v>2.5371234143021359</v>
      </c>
      <c r="N21">
        <v>14.48801364</v>
      </c>
      <c r="O21">
        <f t="shared" si="5"/>
        <v>1.2152029088347047</v>
      </c>
      <c r="P21">
        <v>983.13931360000004</v>
      </c>
      <c r="Q21">
        <f t="shared" si="6"/>
        <v>3.5892786448103391</v>
      </c>
      <c r="R21">
        <v>3.2268381960000001</v>
      </c>
      <c r="S21">
        <f t="shared" si="7"/>
        <v>1.2316176320610688</v>
      </c>
      <c r="T21">
        <v>105.67238279999999</v>
      </c>
      <c r="U21">
        <f t="shared" si="8"/>
        <v>1.0969831080660231</v>
      </c>
      <c r="V21">
        <v>0.57042979299999996</v>
      </c>
      <c r="W21">
        <f t="shared" si="9"/>
        <v>1.1228932933070865</v>
      </c>
      <c r="X21">
        <v>2.3176051229999999</v>
      </c>
      <c r="Y21">
        <f t="shared" si="10"/>
        <v>4.5002041223300964</v>
      </c>
      <c r="Z21">
        <v>75.649154600000003</v>
      </c>
      <c r="AA21">
        <f t="shared" si="11"/>
        <v>2.7369448118668598</v>
      </c>
      <c r="AB21">
        <v>12.42593199</v>
      </c>
      <c r="AC21">
        <f t="shared" si="12"/>
        <v>2.3668441885714286</v>
      </c>
      <c r="AD21">
        <v>25.9657062</v>
      </c>
      <c r="AE21">
        <f t="shared" si="13"/>
        <v>4.6120259680284192</v>
      </c>
    </row>
    <row r="22" spans="1:31">
      <c r="A22" t="s">
        <v>904</v>
      </c>
      <c r="B22" t="s">
        <v>900</v>
      </c>
      <c r="C22" t="s">
        <v>901</v>
      </c>
      <c r="D22">
        <v>521.58285520000004</v>
      </c>
      <c r="E22">
        <f t="shared" si="0"/>
        <v>213.76346524590167</v>
      </c>
      <c r="F22">
        <v>113.2860678</v>
      </c>
      <c r="G22">
        <f t="shared" si="1"/>
        <v>58.394880309278349</v>
      </c>
      <c r="H22">
        <v>133.17319979999999</v>
      </c>
      <c r="I22">
        <f t="shared" si="2"/>
        <v>6.3536831965648846</v>
      </c>
      <c r="J22">
        <v>206.57091130000001</v>
      </c>
      <c r="K22">
        <f t="shared" si="3"/>
        <v>25.651423233577546</v>
      </c>
      <c r="L22">
        <v>110.69861040000001</v>
      </c>
      <c r="M22">
        <f t="shared" si="4"/>
        <v>3.3486178958194692</v>
      </c>
      <c r="N22">
        <v>28.321516949999999</v>
      </c>
      <c r="O22">
        <f t="shared" si="5"/>
        <v>2.375507825671221</v>
      </c>
      <c r="P22">
        <v>657.15321849999998</v>
      </c>
      <c r="Q22">
        <f t="shared" si="6"/>
        <v>2.399157455003468</v>
      </c>
      <c r="R22">
        <v>3.9737284910000001</v>
      </c>
      <c r="S22">
        <f t="shared" si="7"/>
        <v>1.516690263740458</v>
      </c>
      <c r="T22">
        <v>216.34050139999999</v>
      </c>
      <c r="U22">
        <f t="shared" si="8"/>
        <v>2.2458268597529325</v>
      </c>
      <c r="V22">
        <v>2.1294683719999998</v>
      </c>
      <c r="W22">
        <f t="shared" si="9"/>
        <v>4.1918668740157479</v>
      </c>
      <c r="X22">
        <v>6.7308576909999998</v>
      </c>
      <c r="Y22">
        <f t="shared" si="10"/>
        <v>13.069626584466018</v>
      </c>
      <c r="Z22">
        <v>63.415018070000002</v>
      </c>
      <c r="AA22">
        <f t="shared" si="11"/>
        <v>2.2943204801013026</v>
      </c>
      <c r="AB22">
        <v>14.310661</v>
      </c>
      <c r="AC22">
        <f t="shared" si="12"/>
        <v>2.7258401904761902</v>
      </c>
      <c r="AD22">
        <v>69.672413700000007</v>
      </c>
      <c r="AE22">
        <f t="shared" si="13"/>
        <v>12.375206696269984</v>
      </c>
    </row>
    <row r="23" spans="1:31">
      <c r="A23" t="s">
        <v>904</v>
      </c>
      <c r="B23" t="s">
        <v>900</v>
      </c>
      <c r="C23" t="s">
        <v>903</v>
      </c>
      <c r="D23">
        <v>733.91387450000002</v>
      </c>
      <c r="E23">
        <f t="shared" si="0"/>
        <v>300.78437479508199</v>
      </c>
      <c r="F23">
        <v>103.32168780000001</v>
      </c>
      <c r="G23">
        <f t="shared" si="1"/>
        <v>53.258601958762888</v>
      </c>
      <c r="H23">
        <v>85.884902359999998</v>
      </c>
      <c r="I23">
        <f t="shared" si="2"/>
        <v>4.0975621354961831</v>
      </c>
      <c r="J23">
        <v>216.41639269999999</v>
      </c>
      <c r="K23">
        <f t="shared" si="3"/>
        <v>26.87400877933689</v>
      </c>
      <c r="L23">
        <v>82.006477919999995</v>
      </c>
      <c r="M23">
        <f t="shared" si="4"/>
        <v>2.4806847939984267</v>
      </c>
      <c r="N23">
        <v>40.066723690000003</v>
      </c>
      <c r="O23">
        <f t="shared" si="5"/>
        <v>3.3606538746718337</v>
      </c>
      <c r="P23">
        <v>991.04056089999995</v>
      </c>
      <c r="Q23">
        <f t="shared" si="6"/>
        <v>3.61812478879924</v>
      </c>
      <c r="R23">
        <v>5.2452055299999998</v>
      </c>
      <c r="S23">
        <f t="shared" si="7"/>
        <v>2.0019868435114501</v>
      </c>
      <c r="T23">
        <v>254.40783730000001</v>
      </c>
      <c r="U23">
        <f t="shared" si="8"/>
        <v>2.6410031900757813</v>
      </c>
      <c r="V23">
        <v>1.897806152</v>
      </c>
      <c r="W23">
        <f t="shared" si="9"/>
        <v>3.7358388818897637</v>
      </c>
      <c r="X23">
        <v>7.8049081280000001</v>
      </c>
      <c r="Y23">
        <f t="shared" si="10"/>
        <v>15.155161413592232</v>
      </c>
      <c r="Z23">
        <v>63.24152686</v>
      </c>
      <c r="AA23">
        <f t="shared" si="11"/>
        <v>2.2880436635311141</v>
      </c>
      <c r="AB23">
        <v>20.400547939999999</v>
      </c>
      <c r="AC23">
        <f t="shared" si="12"/>
        <v>3.8858186552380949</v>
      </c>
      <c r="AD23">
        <v>68.623107300000001</v>
      </c>
      <c r="AE23">
        <f t="shared" si="13"/>
        <v>12.188829005328596</v>
      </c>
    </row>
    <row r="24" spans="1:31" s="60" customFormat="1">
      <c r="A24" s="60" t="s">
        <v>826</v>
      </c>
      <c r="B24" s="60">
        <v>6</v>
      </c>
      <c r="C24" s="60">
        <v>1</v>
      </c>
      <c r="D24" s="60">
        <v>54.725440703333334</v>
      </c>
      <c r="E24" s="60">
        <f t="shared" si="0"/>
        <v>22.428459304644811</v>
      </c>
      <c r="F24" s="60">
        <v>11.39402827</v>
      </c>
      <c r="G24" s="60">
        <f t="shared" si="1"/>
        <v>5.8732104484536078</v>
      </c>
      <c r="H24" s="60">
        <v>1968.5791999999999</v>
      </c>
      <c r="I24" s="60">
        <f>H24/20.96</f>
        <v>93.920763358778615</v>
      </c>
      <c r="J24" s="60">
        <v>8.0534430659999998</v>
      </c>
      <c r="K24" s="60">
        <f t="shared" si="3"/>
        <v>1.000055018750776</v>
      </c>
      <c r="L24" s="60">
        <v>15.028256150000001</v>
      </c>
      <c r="M24" s="60">
        <f t="shared" si="4"/>
        <v>0.45460270282533732</v>
      </c>
      <c r="N24" s="60">
        <v>2783.9913999999999</v>
      </c>
      <c r="O24" s="60">
        <f t="shared" si="5"/>
        <v>233.51126879880559</v>
      </c>
      <c r="P24" s="60">
        <v>302.95066029999998</v>
      </c>
      <c r="Q24" s="60">
        <f t="shared" si="6"/>
        <v>1.1060226362673868</v>
      </c>
      <c r="R24" s="60">
        <v>3427.4954600000001</v>
      </c>
      <c r="S24" s="60">
        <f t="shared" si="7"/>
        <v>1308.2043740458016</v>
      </c>
      <c r="T24" s="60">
        <v>1079.5934199999999</v>
      </c>
      <c r="U24" s="60">
        <f t="shared" si="8"/>
        <v>11.207239904494964</v>
      </c>
      <c r="V24" s="60">
        <v>2109.8709399999998</v>
      </c>
      <c r="W24" s="60">
        <f t="shared" si="9"/>
        <v>4153.2892519685038</v>
      </c>
      <c r="X24" s="41">
        <v>0.51510521099999995</v>
      </c>
      <c r="Y24" s="41">
        <f t="shared" si="10"/>
        <v>1.0002042932038833</v>
      </c>
      <c r="Z24" s="60">
        <v>9.2509768020000003</v>
      </c>
      <c r="AA24" s="60">
        <f t="shared" si="11"/>
        <v>0.33469525332850941</v>
      </c>
      <c r="AB24" s="60">
        <v>9.2509768020000003</v>
      </c>
      <c r="AC24" s="60">
        <f t="shared" si="12"/>
        <v>1.7620908194285714</v>
      </c>
      <c r="AD24" s="60">
        <v>162.3472391</v>
      </c>
      <c r="AE24" s="63">
        <f t="shared" si="13"/>
        <v>28.836099307282417</v>
      </c>
    </row>
    <row r="25" spans="1:31">
      <c r="A25" t="s">
        <v>826</v>
      </c>
      <c r="B25">
        <v>6</v>
      </c>
      <c r="C25">
        <v>2</v>
      </c>
      <c r="D25">
        <v>14.756386180000002</v>
      </c>
      <c r="E25">
        <f t="shared" si="0"/>
        <v>6.0476992540983616</v>
      </c>
      <c r="F25">
        <v>12.59879001</v>
      </c>
      <c r="G25">
        <f t="shared" si="1"/>
        <v>6.4942216546391753</v>
      </c>
      <c r="H25">
        <v>1135.6408300000001</v>
      </c>
      <c r="I25">
        <f t="shared" si="2"/>
        <v>54.181337309160305</v>
      </c>
      <c r="J25">
        <v>18.159143350000001</v>
      </c>
      <c r="K25">
        <f t="shared" si="3"/>
        <v>2.2549538494970816</v>
      </c>
      <c r="L25">
        <v>85.387771779999994</v>
      </c>
      <c r="M25">
        <f t="shared" si="4"/>
        <v>2.5829684729868716</v>
      </c>
      <c r="N25">
        <v>1245.59923</v>
      </c>
      <c r="O25">
        <f t="shared" si="5"/>
        <v>104.47642065708798</v>
      </c>
      <c r="P25">
        <v>12763</v>
      </c>
      <c r="Q25">
        <f t="shared" si="6"/>
        <v>46.595597093935957</v>
      </c>
      <c r="R25">
        <v>1059.5903599999999</v>
      </c>
      <c r="S25">
        <f t="shared" si="7"/>
        <v>404.42380152671751</v>
      </c>
      <c r="T25">
        <v>1189.34997</v>
      </c>
      <c r="U25">
        <f t="shared" si="8"/>
        <v>12.346620678916226</v>
      </c>
      <c r="V25">
        <v>988.63276299999995</v>
      </c>
      <c r="W25">
        <f t="shared" si="9"/>
        <v>1946.1274862204723</v>
      </c>
      <c r="X25">
        <v>21.700945539999999</v>
      </c>
      <c r="Y25">
        <f t="shared" si="10"/>
        <v>42.137758330097085</v>
      </c>
      <c r="Z25">
        <v>28.699208420000001</v>
      </c>
      <c r="AA25">
        <f t="shared" si="11"/>
        <v>1.0383215781476123</v>
      </c>
      <c r="AB25">
        <v>324</v>
      </c>
      <c r="AC25">
        <f t="shared" si="12"/>
        <v>61.714285714285715</v>
      </c>
      <c r="AD25">
        <v>6919.0232150000002</v>
      </c>
      <c r="AE25">
        <f t="shared" si="13"/>
        <v>1228.9561660746003</v>
      </c>
    </row>
    <row r="26" spans="1:31">
      <c r="A26" t="s">
        <v>826</v>
      </c>
      <c r="B26">
        <v>6</v>
      </c>
      <c r="C26">
        <v>3</v>
      </c>
      <c r="D26">
        <v>26.104606189999998</v>
      </c>
      <c r="E26">
        <f t="shared" si="0"/>
        <v>10.698609094262295</v>
      </c>
      <c r="F26">
        <v>6.5543117449999997</v>
      </c>
      <c r="G26">
        <f t="shared" si="1"/>
        <v>3.3785112087628866</v>
      </c>
      <c r="H26">
        <v>2806.32195</v>
      </c>
      <c r="I26">
        <f t="shared" si="2"/>
        <v>133.88940601145038</v>
      </c>
      <c r="J26">
        <v>20.456179379999998</v>
      </c>
      <c r="K26">
        <f t="shared" si="3"/>
        <v>2.5401936396374016</v>
      </c>
      <c r="L26">
        <v>124.0230799</v>
      </c>
      <c r="M26">
        <f t="shared" si="4"/>
        <v>3.7516812844092202</v>
      </c>
      <c r="N26">
        <v>3702.9640100000001</v>
      </c>
      <c r="O26">
        <f t="shared" si="5"/>
        <v>310.59141356952938</v>
      </c>
      <c r="P26">
        <v>375.96767369999998</v>
      </c>
      <c r="Q26">
        <f t="shared" si="6"/>
        <v>1.3725956471103644</v>
      </c>
      <c r="R26">
        <v>1371.1127300000001</v>
      </c>
      <c r="S26">
        <f t="shared" si="7"/>
        <v>523.32546946564889</v>
      </c>
      <c r="T26">
        <v>2387.2459199999998</v>
      </c>
      <c r="U26">
        <f t="shared" si="8"/>
        <v>24.78195702273435</v>
      </c>
      <c r="V26">
        <v>2126.7943300000002</v>
      </c>
      <c r="W26">
        <f t="shared" si="9"/>
        <v>4186.6030118110239</v>
      </c>
      <c r="X26">
        <v>0.55650432800000005</v>
      </c>
      <c r="Y26">
        <f t="shared" si="10"/>
        <v>1.0805909281553399</v>
      </c>
      <c r="Z26">
        <v>761.668453</v>
      </c>
      <c r="AA26">
        <f t="shared" si="11"/>
        <v>27.55674576700434</v>
      </c>
      <c r="AB26">
        <v>17.00395151</v>
      </c>
      <c r="AC26">
        <f t="shared" si="12"/>
        <v>3.2388479066666669</v>
      </c>
      <c r="AD26">
        <v>206.18536810000001</v>
      </c>
      <c r="AE26">
        <f t="shared" si="13"/>
        <v>36.622623108348137</v>
      </c>
    </row>
    <row r="27" spans="1:31">
      <c r="A27" t="s">
        <v>635</v>
      </c>
      <c r="B27">
        <v>6</v>
      </c>
      <c r="C27">
        <v>4</v>
      </c>
      <c r="D27">
        <v>8.8539051620000002</v>
      </c>
      <c r="E27">
        <f t="shared" si="0"/>
        <v>3.6286496565573771</v>
      </c>
      <c r="F27">
        <v>9.9346817000000005</v>
      </c>
      <c r="G27">
        <f t="shared" si="1"/>
        <v>5.1209699484536086</v>
      </c>
      <c r="H27">
        <v>1954.1820399999999</v>
      </c>
      <c r="I27">
        <f t="shared" si="2"/>
        <v>93.233875954198467</v>
      </c>
      <c r="J27">
        <v>55.67724106</v>
      </c>
      <c r="K27">
        <f t="shared" si="3"/>
        <v>6.9138508704830492</v>
      </c>
      <c r="L27">
        <v>157.4790189</v>
      </c>
      <c r="M27">
        <f t="shared" si="4"/>
        <v>4.7637188849900172</v>
      </c>
      <c r="N27">
        <v>2578.5586600000001</v>
      </c>
      <c r="O27">
        <f t="shared" si="5"/>
        <v>216.2803032971826</v>
      </c>
      <c r="P27">
        <v>1274.470695</v>
      </c>
      <c r="Q27">
        <f t="shared" si="6"/>
        <v>4.6528812201087941</v>
      </c>
      <c r="R27">
        <v>821.63233700000001</v>
      </c>
      <c r="S27">
        <f t="shared" si="7"/>
        <v>313.6001286259542</v>
      </c>
      <c r="T27">
        <v>2118.7766799999999</v>
      </c>
      <c r="U27">
        <f t="shared" si="8"/>
        <v>21.994982663759991</v>
      </c>
      <c r="V27">
        <v>1084.1503700000001</v>
      </c>
      <c r="W27">
        <f t="shared" si="9"/>
        <v>2134.1542716535432</v>
      </c>
      <c r="X27">
        <v>1.719929169</v>
      </c>
      <c r="Y27">
        <f t="shared" si="10"/>
        <v>3.3396682893203882</v>
      </c>
      <c r="Z27">
        <v>25.773171009999999</v>
      </c>
      <c r="AA27">
        <f t="shared" si="11"/>
        <v>0.93245915376266275</v>
      </c>
      <c r="AB27">
        <v>45.749449730000002</v>
      </c>
      <c r="AC27">
        <f t="shared" si="12"/>
        <v>8.7141809009523818</v>
      </c>
      <c r="AD27">
        <v>401.43311410000001</v>
      </c>
      <c r="AE27">
        <f t="shared" si="13"/>
        <v>71.302506944937832</v>
      </c>
    </row>
    <row r="28" spans="1:31">
      <c r="A28" t="s">
        <v>635</v>
      </c>
      <c r="B28">
        <v>6</v>
      </c>
      <c r="C28">
        <v>5</v>
      </c>
      <c r="D28">
        <v>12.1675561795</v>
      </c>
      <c r="E28">
        <f t="shared" si="0"/>
        <v>4.9867033522540982</v>
      </c>
      <c r="F28">
        <v>9.6343945229999992</v>
      </c>
      <c r="G28">
        <f t="shared" si="1"/>
        <v>4.966182743814433</v>
      </c>
      <c r="H28">
        <v>1421.57035</v>
      </c>
      <c r="I28">
        <f t="shared" si="2"/>
        <v>67.823012881679389</v>
      </c>
      <c r="J28">
        <v>29.649511820000001</v>
      </c>
      <c r="K28">
        <f t="shared" si="3"/>
        <v>3.681797071898671</v>
      </c>
      <c r="L28">
        <v>78.245530799999997</v>
      </c>
      <c r="M28">
        <f t="shared" si="4"/>
        <v>2.36691665557505</v>
      </c>
      <c r="N28">
        <v>597.69670499999995</v>
      </c>
      <c r="O28">
        <f t="shared" si="5"/>
        <v>50.132667773835578</v>
      </c>
      <c r="P28">
        <v>4489.8481929999998</v>
      </c>
      <c r="Q28">
        <f t="shared" si="6"/>
        <v>16.391691405936253</v>
      </c>
      <c r="R28">
        <v>2081.3008100000002</v>
      </c>
      <c r="S28">
        <f t="shared" si="7"/>
        <v>794.38962213740467</v>
      </c>
      <c r="T28">
        <v>1770.49425</v>
      </c>
      <c r="U28">
        <f t="shared" si="8"/>
        <v>18.37946901276861</v>
      </c>
      <c r="V28">
        <v>670.89186800000004</v>
      </c>
      <c r="W28">
        <f t="shared" si="9"/>
        <v>1320.653283464567</v>
      </c>
      <c r="X28">
        <v>13.602352550000001</v>
      </c>
      <c r="Y28">
        <f t="shared" si="10"/>
        <v>26.412335048543689</v>
      </c>
      <c r="Z28">
        <v>51.948702789999999</v>
      </c>
      <c r="AA28">
        <f t="shared" si="11"/>
        <v>1.8794754989146165</v>
      </c>
      <c r="AB28">
        <v>146.94348830000001</v>
      </c>
      <c r="AC28">
        <f t="shared" si="12"/>
        <v>27.989235866666668</v>
      </c>
      <c r="AD28">
        <v>7127.1897449999997</v>
      </c>
      <c r="AE28">
        <f t="shared" si="13"/>
        <v>1265.9306829484901</v>
      </c>
    </row>
    <row r="29" spans="1:31">
      <c r="A29" t="s">
        <v>635</v>
      </c>
      <c r="B29">
        <v>6</v>
      </c>
      <c r="C29">
        <v>6</v>
      </c>
      <c r="D29">
        <v>19.209700603333335</v>
      </c>
      <c r="E29">
        <f t="shared" si="0"/>
        <v>7.8728281161202194</v>
      </c>
      <c r="F29">
        <v>22.985278050000002</v>
      </c>
      <c r="G29">
        <f t="shared" si="1"/>
        <v>11.848081469072167</v>
      </c>
      <c r="H29">
        <v>1531.77927</v>
      </c>
      <c r="I29">
        <f t="shared" si="2"/>
        <v>73.081072041984726</v>
      </c>
      <c r="J29">
        <v>28.793262639999998</v>
      </c>
      <c r="K29">
        <f t="shared" si="3"/>
        <v>3.5754703390040974</v>
      </c>
      <c r="L29">
        <v>115.1730505</v>
      </c>
      <c r="M29">
        <f t="shared" si="4"/>
        <v>3.4839690997640513</v>
      </c>
      <c r="N29">
        <v>1719.36409</v>
      </c>
      <c r="O29">
        <f t="shared" si="5"/>
        <v>144.21412730765039</v>
      </c>
      <c r="P29">
        <v>714.6002962</v>
      </c>
      <c r="Q29">
        <f t="shared" si="6"/>
        <v>2.6088872118579092</v>
      </c>
      <c r="R29">
        <v>1496.7933800000001</v>
      </c>
      <c r="S29">
        <f t="shared" si="7"/>
        <v>571.29518320610691</v>
      </c>
      <c r="T29">
        <v>1719.36409</v>
      </c>
      <c r="U29">
        <f t="shared" si="8"/>
        <v>17.84868774006021</v>
      </c>
      <c r="V29">
        <v>987.515353</v>
      </c>
      <c r="W29">
        <f t="shared" si="9"/>
        <v>1943.9278602362206</v>
      </c>
      <c r="X29">
        <v>2.4300612909999999</v>
      </c>
      <c r="Y29">
        <f t="shared" si="10"/>
        <v>4.7185656135922329</v>
      </c>
      <c r="Z29">
        <v>601.512518</v>
      </c>
      <c r="AA29">
        <f t="shared" si="11"/>
        <v>21.762392112879883</v>
      </c>
      <c r="AB29">
        <v>30.85985479</v>
      </c>
      <c r="AC29">
        <f t="shared" si="12"/>
        <v>5.8780675790476193</v>
      </c>
      <c r="AD29">
        <v>840.04688209999995</v>
      </c>
      <c r="AE29">
        <f t="shared" si="13"/>
        <v>149.20903767317938</v>
      </c>
    </row>
    <row r="30" spans="1:31">
      <c r="A30" t="s">
        <v>826</v>
      </c>
      <c r="B30">
        <v>12</v>
      </c>
      <c r="C30">
        <v>1</v>
      </c>
      <c r="D30">
        <v>14.292941081333334</v>
      </c>
      <c r="E30">
        <f t="shared" si="0"/>
        <v>5.8577627382513668</v>
      </c>
      <c r="F30">
        <v>8.7095056530000008</v>
      </c>
      <c r="G30">
        <f t="shared" si="1"/>
        <v>4.4894359036082481</v>
      </c>
      <c r="H30">
        <v>612.74801300000001</v>
      </c>
      <c r="I30">
        <f t="shared" si="2"/>
        <v>29.234160925572517</v>
      </c>
      <c r="J30">
        <v>41.04544121</v>
      </c>
      <c r="K30">
        <f t="shared" si="3"/>
        <v>5.0969131019495837</v>
      </c>
      <c r="L30">
        <v>226.8848955</v>
      </c>
      <c r="M30">
        <f t="shared" si="4"/>
        <v>6.8632372043075804</v>
      </c>
      <c r="N30">
        <v>1170.1545900000001</v>
      </c>
      <c r="O30">
        <f t="shared" si="5"/>
        <v>98.148393346921324</v>
      </c>
      <c r="P30">
        <v>1773.622699</v>
      </c>
      <c r="Q30">
        <f t="shared" si="6"/>
        <v>6.4752024351064215</v>
      </c>
      <c r="R30">
        <v>585.07729500000005</v>
      </c>
      <c r="S30">
        <f t="shared" si="7"/>
        <v>223.31194465648855</v>
      </c>
      <c r="T30">
        <v>571.714111</v>
      </c>
      <c r="U30">
        <f t="shared" si="8"/>
        <v>5.934953918820721</v>
      </c>
      <c r="V30">
        <v>995.41208300000005</v>
      </c>
      <c r="W30">
        <f t="shared" si="9"/>
        <v>1959.4726043307087</v>
      </c>
      <c r="X30">
        <v>4.2648157749999998</v>
      </c>
      <c r="Y30">
        <f t="shared" si="10"/>
        <v>8.281195679611649</v>
      </c>
      <c r="Z30">
        <v>87.284850359999993</v>
      </c>
      <c r="AA30">
        <f t="shared" si="11"/>
        <v>3.1579178856729375</v>
      </c>
      <c r="AB30">
        <v>51.714015379999999</v>
      </c>
      <c r="AC30">
        <f t="shared" si="12"/>
        <v>9.8502886438095238</v>
      </c>
      <c r="AD30">
        <v>1900.9217410000001</v>
      </c>
      <c r="AE30">
        <f t="shared" si="13"/>
        <v>337.64151705150982</v>
      </c>
    </row>
    <row r="31" spans="1:31">
      <c r="A31" t="s">
        <v>826</v>
      </c>
      <c r="B31">
        <v>12</v>
      </c>
      <c r="C31">
        <v>2</v>
      </c>
      <c r="D31">
        <v>36.007494749999999</v>
      </c>
      <c r="E31">
        <f t="shared" si="0"/>
        <v>14.757169979508197</v>
      </c>
      <c r="F31">
        <v>5.7443427429999998</v>
      </c>
      <c r="G31">
        <f t="shared" si="1"/>
        <v>2.9610014139175256</v>
      </c>
      <c r="H31">
        <v>1343.4128599999999</v>
      </c>
      <c r="I31">
        <f t="shared" si="2"/>
        <v>64.094124999999991</v>
      </c>
      <c r="J31">
        <v>30.379376600000001</v>
      </c>
      <c r="K31">
        <f t="shared" si="3"/>
        <v>3.7724297280516574</v>
      </c>
      <c r="L31">
        <v>142.84965020000001</v>
      </c>
      <c r="M31">
        <f t="shared" si="4"/>
        <v>4.3211824732288706</v>
      </c>
      <c r="N31">
        <v>1374.8136400000001</v>
      </c>
      <c r="O31">
        <f t="shared" si="5"/>
        <v>115.314464490912</v>
      </c>
      <c r="P31">
        <v>1253.4485179999999</v>
      </c>
      <c r="Q31">
        <f t="shared" si="6"/>
        <v>4.5761327370304103</v>
      </c>
      <c r="R31">
        <v>1374.8136400000001</v>
      </c>
      <c r="S31">
        <f t="shared" si="7"/>
        <v>524.7380305343512</v>
      </c>
      <c r="T31">
        <v>1041.91391</v>
      </c>
      <c r="U31">
        <f t="shared" si="8"/>
        <v>10.816089587875013</v>
      </c>
      <c r="V31">
        <v>1772.6438900000001</v>
      </c>
      <c r="W31">
        <f t="shared" si="9"/>
        <v>3489.4564763779526</v>
      </c>
      <c r="X31">
        <v>2.2841969149999999</v>
      </c>
      <c r="Y31">
        <f t="shared" si="10"/>
        <v>4.4353338155339799</v>
      </c>
      <c r="Z31">
        <v>202.13146259999999</v>
      </c>
      <c r="AA31">
        <f t="shared" si="11"/>
        <v>7.3130051591895802</v>
      </c>
      <c r="AB31">
        <v>39.170266179999999</v>
      </c>
      <c r="AC31">
        <f t="shared" si="12"/>
        <v>7.4610030819047619</v>
      </c>
      <c r="AD31">
        <v>1169.50882</v>
      </c>
      <c r="AE31">
        <f t="shared" si="13"/>
        <v>207.72803197158083</v>
      </c>
    </row>
    <row r="32" spans="1:31">
      <c r="A32" t="s">
        <v>826</v>
      </c>
      <c r="B32">
        <v>12</v>
      </c>
      <c r="C32">
        <v>3</v>
      </c>
      <c r="D32">
        <v>9.0274886026666668</v>
      </c>
      <c r="E32">
        <f t="shared" si="0"/>
        <v>3.6997904109289617</v>
      </c>
      <c r="F32">
        <v>3.6324963669999999</v>
      </c>
      <c r="G32">
        <f t="shared" si="1"/>
        <v>1.8724208077319588</v>
      </c>
      <c r="H32">
        <v>570.79836399999999</v>
      </c>
      <c r="I32">
        <f t="shared" si="2"/>
        <v>27.232746374045799</v>
      </c>
      <c r="J32">
        <v>31.782720699999999</v>
      </c>
      <c r="K32">
        <f t="shared" si="3"/>
        <v>3.9466932447535075</v>
      </c>
      <c r="L32">
        <v>118.6173079</v>
      </c>
      <c r="M32">
        <f t="shared" si="4"/>
        <v>3.5881574172666224</v>
      </c>
      <c r="N32">
        <v>807.23078799999996</v>
      </c>
      <c r="O32">
        <f t="shared" si="5"/>
        <v>67.7076392977865</v>
      </c>
      <c r="P32">
        <v>376.58647860000002</v>
      </c>
      <c r="Q32">
        <f t="shared" si="6"/>
        <v>1.3748548012120769</v>
      </c>
      <c r="R32">
        <v>1614.4615799999999</v>
      </c>
      <c r="S32">
        <f t="shared" si="7"/>
        <v>616.20670992366411</v>
      </c>
      <c r="T32">
        <v>359.58043700000002</v>
      </c>
      <c r="U32">
        <f t="shared" si="8"/>
        <v>3.7327980587563587</v>
      </c>
      <c r="V32">
        <v>520.40970500000003</v>
      </c>
      <c r="W32">
        <f t="shared" si="9"/>
        <v>1024.4285531496064</v>
      </c>
      <c r="X32">
        <v>0.90553191300000002</v>
      </c>
      <c r="Y32">
        <f t="shared" si="10"/>
        <v>1.7583143941747572</v>
      </c>
      <c r="Z32">
        <v>179.9792813</v>
      </c>
      <c r="AA32">
        <f t="shared" si="11"/>
        <v>6.5115514218523876</v>
      </c>
      <c r="AB32">
        <v>15.891360349999999</v>
      </c>
      <c r="AC32">
        <f t="shared" si="12"/>
        <v>3.0269257809523809</v>
      </c>
      <c r="AD32">
        <v>413.04945679999997</v>
      </c>
      <c r="AE32">
        <f t="shared" si="13"/>
        <v>73.365800497335698</v>
      </c>
    </row>
    <row r="33" spans="1:31">
      <c r="A33" t="s">
        <v>635</v>
      </c>
      <c r="B33">
        <v>12</v>
      </c>
      <c r="C33">
        <v>4</v>
      </c>
      <c r="D33">
        <v>4.0278181596666665</v>
      </c>
      <c r="E33">
        <f t="shared" si="0"/>
        <v>1.6507451474043715</v>
      </c>
      <c r="F33">
        <v>3.156508213</v>
      </c>
      <c r="G33">
        <f t="shared" si="1"/>
        <v>1.6270660891752577</v>
      </c>
      <c r="H33">
        <v>350.19866200000001</v>
      </c>
      <c r="I33">
        <f t="shared" si="2"/>
        <v>16.707951431297708</v>
      </c>
      <c r="J33">
        <v>53.274125329999997</v>
      </c>
      <c r="K33">
        <f t="shared" si="3"/>
        <v>6.6154383869365443</v>
      </c>
      <c r="L33">
        <v>78.904176620000001</v>
      </c>
      <c r="M33">
        <f t="shared" si="4"/>
        <v>2.386840601972291</v>
      </c>
      <c r="N33">
        <v>924.17981099999997</v>
      </c>
      <c r="O33">
        <f t="shared" si="5"/>
        <v>77.516906217759995</v>
      </c>
      <c r="P33">
        <v>315.61670650000002</v>
      </c>
      <c r="Q33">
        <f t="shared" si="6"/>
        <v>1.1522642711109488</v>
      </c>
      <c r="R33">
        <v>1981.02279</v>
      </c>
      <c r="S33">
        <f t="shared" si="7"/>
        <v>756.11556870229003</v>
      </c>
      <c r="T33">
        <v>205.83765199999999</v>
      </c>
      <c r="U33">
        <f t="shared" si="8"/>
        <v>2.1367969687532442</v>
      </c>
      <c r="V33">
        <v>393.08470799999998</v>
      </c>
      <c r="W33">
        <f t="shared" si="9"/>
        <v>773.78879527559047</v>
      </c>
      <c r="X33">
        <v>1.5896359769999999</v>
      </c>
      <c r="Y33">
        <f t="shared" si="10"/>
        <v>3.0866718</v>
      </c>
      <c r="Z33">
        <v>55.336930809999998</v>
      </c>
      <c r="AA33">
        <f t="shared" si="11"/>
        <v>2.0020597253979737</v>
      </c>
      <c r="AB33">
        <v>16.39703544</v>
      </c>
      <c r="AC33">
        <f t="shared" si="12"/>
        <v>3.1232448457142858</v>
      </c>
      <c r="AD33">
        <v>362.54839149999998</v>
      </c>
      <c r="AE33">
        <f t="shared" si="13"/>
        <v>64.395806660746004</v>
      </c>
    </row>
    <row r="34" spans="1:31">
      <c r="A34" t="s">
        <v>635</v>
      </c>
      <c r="B34">
        <v>12</v>
      </c>
      <c r="C34">
        <v>5</v>
      </c>
      <c r="D34">
        <v>7.9221036786666659</v>
      </c>
      <c r="E34">
        <f t="shared" si="0"/>
        <v>3.2467638027322403</v>
      </c>
      <c r="F34">
        <v>5.4182616570000004</v>
      </c>
      <c r="G34">
        <f t="shared" si="1"/>
        <v>2.7929183798969075</v>
      </c>
      <c r="H34">
        <v>763.91943200000003</v>
      </c>
      <c r="I34">
        <f t="shared" si="2"/>
        <v>36.44653778625954</v>
      </c>
      <c r="J34">
        <v>44.547627089999999</v>
      </c>
      <c r="K34">
        <f t="shared" si="3"/>
        <v>5.5318051769526875</v>
      </c>
      <c r="L34">
        <v>107.1838214</v>
      </c>
      <c r="M34">
        <f t="shared" si="4"/>
        <v>3.2422960070179685</v>
      </c>
      <c r="N34">
        <v>857.47057099999995</v>
      </c>
      <c r="O34">
        <f t="shared" si="5"/>
        <v>71.921573102505391</v>
      </c>
      <c r="P34">
        <v>2750.6566579999999</v>
      </c>
      <c r="Q34">
        <f t="shared" si="6"/>
        <v>10.042191442444597</v>
      </c>
      <c r="R34">
        <v>1055.6701</v>
      </c>
      <c r="S34">
        <f t="shared" si="7"/>
        <v>402.92751908396946</v>
      </c>
      <c r="T34">
        <v>503.99886700000002</v>
      </c>
      <c r="U34">
        <f t="shared" si="8"/>
        <v>5.2320031869614869</v>
      </c>
      <c r="V34">
        <v>515.77928199999997</v>
      </c>
      <c r="W34">
        <f t="shared" si="9"/>
        <v>1015.3135472440944</v>
      </c>
      <c r="X34">
        <v>4.4657227610000003</v>
      </c>
      <c r="Y34">
        <f t="shared" si="10"/>
        <v>8.6713063320388351</v>
      </c>
      <c r="Z34">
        <v>59.798183829999999</v>
      </c>
      <c r="AA34">
        <f t="shared" si="11"/>
        <v>2.1634654062952241</v>
      </c>
      <c r="AB34">
        <v>87.967194050000003</v>
      </c>
      <c r="AC34">
        <f t="shared" si="12"/>
        <v>16.755656009523811</v>
      </c>
      <c r="AD34">
        <v>2450.5564909999998</v>
      </c>
      <c r="AE34">
        <f t="shared" si="13"/>
        <v>435.26758277087032</v>
      </c>
    </row>
    <row r="35" spans="1:31">
      <c r="A35" t="s">
        <v>635</v>
      </c>
      <c r="B35">
        <v>12</v>
      </c>
      <c r="C35">
        <v>6</v>
      </c>
      <c r="D35">
        <v>23.414904379999999</v>
      </c>
      <c r="E35">
        <f t="shared" si="0"/>
        <v>9.5962722868852453</v>
      </c>
      <c r="F35">
        <v>13.926386129999999</v>
      </c>
      <c r="G35">
        <f t="shared" si="1"/>
        <v>7.1785495515463911</v>
      </c>
      <c r="H35">
        <v>795.01627299999996</v>
      </c>
      <c r="I35">
        <f t="shared" si="2"/>
        <v>37.930165696564885</v>
      </c>
      <c r="J35">
        <v>35.956331110000001</v>
      </c>
      <c r="K35">
        <f t="shared" si="3"/>
        <v>4.464961021979386</v>
      </c>
      <c r="L35">
        <v>90.60427688</v>
      </c>
      <c r="M35">
        <f t="shared" si="4"/>
        <v>2.7407670421683101</v>
      </c>
      <c r="N35">
        <v>1352.5884699999999</v>
      </c>
      <c r="O35">
        <f t="shared" si="5"/>
        <v>113.4502965031915</v>
      </c>
      <c r="P35">
        <v>1449.6684299999999</v>
      </c>
      <c r="Q35">
        <f t="shared" si="6"/>
        <v>5.2924991055456161</v>
      </c>
      <c r="R35">
        <v>308.29633200000001</v>
      </c>
      <c r="S35">
        <f t="shared" si="7"/>
        <v>117.67035572519083</v>
      </c>
      <c r="T35">
        <v>956.42448100000001</v>
      </c>
      <c r="U35">
        <f t="shared" si="8"/>
        <v>9.9286253607391259</v>
      </c>
      <c r="V35">
        <v>776.85807699999998</v>
      </c>
      <c r="W35">
        <f t="shared" si="9"/>
        <v>1529.2481830708662</v>
      </c>
      <c r="X35">
        <v>3.178120694</v>
      </c>
      <c r="Y35">
        <f t="shared" si="10"/>
        <v>6.1711081436893203</v>
      </c>
      <c r="Z35">
        <v>260.57599160000001</v>
      </c>
      <c r="AA35">
        <f t="shared" si="11"/>
        <v>9.4274960781476125</v>
      </c>
      <c r="AB35">
        <v>75.313708500000004</v>
      </c>
      <c r="AC35">
        <f t="shared" si="12"/>
        <v>14.345468285714286</v>
      </c>
      <c r="AD35">
        <v>1518.229227</v>
      </c>
      <c r="AE35">
        <f t="shared" si="13"/>
        <v>269.66771349911193</v>
      </c>
    </row>
    <row r="36" spans="1:31">
      <c r="A36" t="s">
        <v>826</v>
      </c>
      <c r="B36">
        <v>24</v>
      </c>
      <c r="C36">
        <v>1</v>
      </c>
      <c r="D36">
        <v>18.406157026666666</v>
      </c>
      <c r="E36">
        <f t="shared" si="0"/>
        <v>7.5435069781420765</v>
      </c>
      <c r="F36">
        <v>5.6363959299999999</v>
      </c>
      <c r="G36">
        <f t="shared" si="1"/>
        <v>2.9053587268041237</v>
      </c>
      <c r="H36">
        <v>748.01378499999998</v>
      </c>
      <c r="I36">
        <f t="shared" si="2"/>
        <v>35.68768058206107</v>
      </c>
      <c r="J36">
        <v>33.830541879999998</v>
      </c>
      <c r="K36">
        <f t="shared" si="3"/>
        <v>4.2009862014156205</v>
      </c>
      <c r="L36">
        <v>81.397977740000002</v>
      </c>
      <c r="M36">
        <f t="shared" si="4"/>
        <v>2.4622777463851415</v>
      </c>
      <c r="N36">
        <v>1201.1947700000001</v>
      </c>
      <c r="O36">
        <f t="shared" si="5"/>
        <v>100.75193293240399</v>
      </c>
      <c r="P36">
        <v>5401.3997849999996</v>
      </c>
      <c r="Q36">
        <f t="shared" si="6"/>
        <v>19.719615147311156</v>
      </c>
      <c r="R36">
        <v>321.852169</v>
      </c>
      <c r="S36">
        <f t="shared" si="7"/>
        <v>122.8443393129771</v>
      </c>
      <c r="T36">
        <v>227.58385100000001</v>
      </c>
      <c r="U36">
        <f t="shared" si="8"/>
        <v>2.3625438700301049</v>
      </c>
      <c r="V36">
        <v>643.70433800000001</v>
      </c>
      <c r="W36">
        <f t="shared" si="9"/>
        <v>1267.1345236220473</v>
      </c>
      <c r="X36">
        <v>8.7692347519999991</v>
      </c>
      <c r="Y36">
        <f t="shared" si="10"/>
        <v>17.02764029514563</v>
      </c>
      <c r="Z36">
        <v>194.21451909999999</v>
      </c>
      <c r="AA36">
        <f t="shared" si="11"/>
        <v>7.0265744971056439</v>
      </c>
      <c r="AB36">
        <v>255.84347299999999</v>
      </c>
      <c r="AC36">
        <f t="shared" si="12"/>
        <v>48.732090095238092</v>
      </c>
      <c r="AD36">
        <v>5401.3997849999996</v>
      </c>
      <c r="AE36">
        <f t="shared" si="13"/>
        <v>959.39605417406744</v>
      </c>
    </row>
    <row r="37" spans="1:31">
      <c r="A37" t="s">
        <v>826</v>
      </c>
      <c r="B37">
        <v>24</v>
      </c>
      <c r="C37">
        <v>2</v>
      </c>
      <c r="D37">
        <v>7.891283727666667</v>
      </c>
      <c r="E37">
        <f t="shared" si="0"/>
        <v>3.2341326752732242</v>
      </c>
      <c r="F37">
        <v>4.9683797099999998</v>
      </c>
      <c r="G37">
        <f t="shared" si="1"/>
        <v>2.5610204690721647</v>
      </c>
      <c r="H37">
        <v>348.96077000000002</v>
      </c>
      <c r="I37">
        <f t="shared" si="2"/>
        <v>16.648891698473282</v>
      </c>
      <c r="J37">
        <v>9.064669254</v>
      </c>
      <c r="K37">
        <f t="shared" si="3"/>
        <v>1.1256263819694523</v>
      </c>
      <c r="L37" s="41">
        <v>33.057851239999998</v>
      </c>
      <c r="M37" s="41">
        <f t="shared" si="4"/>
        <v>0.99999550003024984</v>
      </c>
      <c r="N37">
        <v>730.92912699999999</v>
      </c>
      <c r="O37">
        <f t="shared" si="5"/>
        <v>61.307728122929298</v>
      </c>
      <c r="P37">
        <v>1008.198117</v>
      </c>
      <c r="Q37">
        <f t="shared" si="6"/>
        <v>3.6807641816655101</v>
      </c>
      <c r="R37">
        <v>1057.85124</v>
      </c>
      <c r="S37">
        <f t="shared" si="7"/>
        <v>403.76001526717556</v>
      </c>
      <c r="T37">
        <v>419.80854299999999</v>
      </c>
      <c r="U37">
        <f t="shared" si="8"/>
        <v>4.3580249454998441</v>
      </c>
      <c r="V37">
        <v>482.23338200000001</v>
      </c>
      <c r="W37">
        <f t="shared" si="9"/>
        <v>949.278311023622</v>
      </c>
      <c r="X37">
        <v>2.538946712</v>
      </c>
      <c r="Y37">
        <f t="shared" si="10"/>
        <v>4.9299936155339807</v>
      </c>
      <c r="Z37">
        <v>601.512518</v>
      </c>
      <c r="AA37">
        <f t="shared" si="11"/>
        <v>21.762392112879883</v>
      </c>
      <c r="AB37">
        <v>41.572668460000003</v>
      </c>
      <c r="AC37">
        <f t="shared" si="12"/>
        <v>7.9186035161904771</v>
      </c>
      <c r="AD37">
        <v>1185.185185</v>
      </c>
      <c r="AE37">
        <f t="shared" si="13"/>
        <v>210.51246625222026</v>
      </c>
    </row>
    <row r="38" spans="1:31">
      <c r="A38" t="s">
        <v>826</v>
      </c>
      <c r="B38">
        <v>24</v>
      </c>
      <c r="C38">
        <v>3</v>
      </c>
      <c r="D38">
        <v>3.7873284980000004</v>
      </c>
      <c r="E38">
        <f t="shared" si="0"/>
        <v>1.552183810655738</v>
      </c>
      <c r="F38">
        <v>2.843421523</v>
      </c>
      <c r="G38">
        <f t="shared" si="1"/>
        <v>1.4656811974226804</v>
      </c>
      <c r="H38">
        <v>1045.7007799999999</v>
      </c>
      <c r="I38">
        <f t="shared" si="2"/>
        <v>49.890304389312973</v>
      </c>
      <c r="J38">
        <v>36.25867701</v>
      </c>
      <c r="K38">
        <f t="shared" si="3"/>
        <v>4.5025055271327448</v>
      </c>
      <c r="L38">
        <v>69.242586630000005</v>
      </c>
      <c r="M38">
        <f t="shared" si="4"/>
        <v>2.0945788199528104</v>
      </c>
      <c r="N38">
        <v>2487.1096200000002</v>
      </c>
      <c r="O38">
        <f t="shared" si="5"/>
        <v>208.60988399889285</v>
      </c>
      <c r="P38">
        <v>597.10369839999998</v>
      </c>
      <c r="Q38">
        <f t="shared" si="6"/>
        <v>2.1799266123909309</v>
      </c>
      <c r="R38" t="s">
        <v>927</v>
      </c>
      <c r="S38" t="s">
        <v>272</v>
      </c>
      <c r="T38">
        <v>382.74888900000002</v>
      </c>
      <c r="U38">
        <f t="shared" si="8"/>
        <v>3.9733093428838373</v>
      </c>
      <c r="V38">
        <v>1033.6898799999999</v>
      </c>
      <c r="W38">
        <f t="shared" si="9"/>
        <v>2034.8225984251967</v>
      </c>
      <c r="X38">
        <v>1.5388340890000001</v>
      </c>
      <c r="Y38">
        <f t="shared" si="10"/>
        <v>2.9880273572815534</v>
      </c>
      <c r="Z38">
        <v>162.4925896</v>
      </c>
      <c r="AA38">
        <f t="shared" si="11"/>
        <v>5.8788925325615047</v>
      </c>
      <c r="AB38">
        <v>24.05899312</v>
      </c>
      <c r="AC38">
        <f t="shared" si="12"/>
        <v>4.5826653561904767</v>
      </c>
      <c r="AD38">
        <v>701.92400250000003</v>
      </c>
      <c r="AE38">
        <f t="shared" si="13"/>
        <v>124.67566651865009</v>
      </c>
    </row>
    <row r="39" spans="1:31">
      <c r="A39" t="s">
        <v>635</v>
      </c>
      <c r="B39">
        <v>24</v>
      </c>
      <c r="C39">
        <v>4</v>
      </c>
      <c r="D39">
        <v>7.2477121669999995</v>
      </c>
      <c r="E39">
        <f t="shared" si="0"/>
        <v>2.9703738389344263</v>
      </c>
      <c r="F39">
        <v>6.2670067400000002</v>
      </c>
      <c r="G39">
        <f t="shared" si="1"/>
        <v>3.2304158453608252</v>
      </c>
      <c r="H39">
        <v>423.29510900000002</v>
      </c>
      <c r="I39">
        <f t="shared" si="2"/>
        <v>20.195377337786258</v>
      </c>
      <c r="J39">
        <v>58.709416279999999</v>
      </c>
      <c r="K39">
        <f t="shared" si="3"/>
        <v>7.2903782789022715</v>
      </c>
      <c r="L39">
        <v>125.84638870000001</v>
      </c>
      <c r="M39">
        <f t="shared" si="4"/>
        <v>3.8068361274124269</v>
      </c>
      <c r="N39">
        <v>995.207357</v>
      </c>
      <c r="O39">
        <f t="shared" si="5"/>
        <v>83.474443437927249</v>
      </c>
      <c r="P39">
        <v>2817.1596509999999</v>
      </c>
      <c r="Q39">
        <f t="shared" si="6"/>
        <v>10.28498284473002</v>
      </c>
      <c r="R39">
        <v>876.44515699999999</v>
      </c>
      <c r="S39">
        <f t="shared" si="7"/>
        <v>334.52105229007634</v>
      </c>
      <c r="T39">
        <v>423.29510900000002</v>
      </c>
      <c r="U39">
        <f t="shared" si="8"/>
        <v>4.3942189245302608</v>
      </c>
      <c r="V39">
        <v>320.79770400000001</v>
      </c>
      <c r="W39">
        <f t="shared" si="9"/>
        <v>631.49154330708666</v>
      </c>
      <c r="X39">
        <v>7.6036507929999999</v>
      </c>
      <c r="Y39">
        <f t="shared" si="10"/>
        <v>14.764370471844659</v>
      </c>
      <c r="Z39">
        <v>78.167899259999999</v>
      </c>
      <c r="AA39">
        <f t="shared" si="11"/>
        <v>2.8280716085383499</v>
      </c>
      <c r="AB39">
        <v>108.3853239</v>
      </c>
      <c r="AC39">
        <f t="shared" si="12"/>
        <v>20.644823600000002</v>
      </c>
      <c r="AD39">
        <v>3984.0653849999999</v>
      </c>
      <c r="AE39">
        <f t="shared" si="13"/>
        <v>707.6492690941385</v>
      </c>
    </row>
    <row r="40" spans="1:31">
      <c r="A40" t="s">
        <v>635</v>
      </c>
      <c r="B40">
        <v>24</v>
      </c>
      <c r="C40">
        <v>5</v>
      </c>
      <c r="D40">
        <v>4.7396424335000003</v>
      </c>
      <c r="E40">
        <f t="shared" si="0"/>
        <v>1.9424764071721312</v>
      </c>
      <c r="F40">
        <v>4.6143979829999999</v>
      </c>
      <c r="G40">
        <f t="shared" si="1"/>
        <v>2.3785556613402061</v>
      </c>
      <c r="H40">
        <v>1273.16859</v>
      </c>
      <c r="I40">
        <f t="shared" si="2"/>
        <v>60.742776240458014</v>
      </c>
      <c r="J40">
        <v>54.349985680000003</v>
      </c>
      <c r="K40">
        <f t="shared" si="3"/>
        <v>6.7490358475102443</v>
      </c>
      <c r="L40">
        <v>119.2248439</v>
      </c>
      <c r="M40">
        <f t="shared" si="4"/>
        <v>3.6065352985661563</v>
      </c>
      <c r="N40">
        <v>1318.0667800000001</v>
      </c>
      <c r="O40">
        <f t="shared" si="5"/>
        <v>110.55474027662449</v>
      </c>
      <c r="P40" s="41">
        <v>273.90676409999998</v>
      </c>
      <c r="Q40" s="41">
        <f t="shared" si="6"/>
        <v>0.99998818626556152</v>
      </c>
      <c r="R40">
        <v>3815.1950000000002</v>
      </c>
      <c r="S40">
        <f t="shared" si="7"/>
        <v>1456.1812977099237</v>
      </c>
      <c r="T40">
        <v>1412.6689899999999</v>
      </c>
      <c r="U40">
        <f t="shared" si="8"/>
        <v>14.664891414927851</v>
      </c>
      <c r="V40">
        <v>1046.1503</v>
      </c>
      <c r="W40">
        <f t="shared" si="9"/>
        <v>2059.3509842519684</v>
      </c>
      <c r="X40">
        <v>0.79234890199999997</v>
      </c>
      <c r="Y40">
        <f t="shared" si="10"/>
        <v>1.5385415572815533</v>
      </c>
      <c r="Z40" s="45">
        <v>404.50833210000002</v>
      </c>
      <c r="AA40">
        <f t="shared" si="11"/>
        <v>14.634889005065123</v>
      </c>
      <c r="AB40">
        <v>10.78440305</v>
      </c>
      <c r="AC40">
        <f t="shared" si="12"/>
        <v>2.0541720095238096</v>
      </c>
      <c r="AD40">
        <v>369.86998410000001</v>
      </c>
      <c r="AE40">
        <f t="shared" si="13"/>
        <v>65.69626715808171</v>
      </c>
    </row>
    <row r="41" spans="1:31">
      <c r="A41" t="s">
        <v>635</v>
      </c>
      <c r="B41">
        <v>24</v>
      </c>
      <c r="C41">
        <v>6</v>
      </c>
      <c r="D41">
        <v>31.733607264499998</v>
      </c>
      <c r="E41">
        <f t="shared" si="0"/>
        <v>13.0055767477459</v>
      </c>
      <c r="F41">
        <v>4.458248105</v>
      </c>
      <c r="G41">
        <f t="shared" si="1"/>
        <v>2.2980660335051546</v>
      </c>
      <c r="H41">
        <v>940.63185099999998</v>
      </c>
      <c r="I41">
        <f t="shared" si="2"/>
        <v>44.877473807251903</v>
      </c>
      <c r="J41">
        <v>42.542110649999998</v>
      </c>
      <c r="K41">
        <f t="shared" si="3"/>
        <v>5.2827655097479189</v>
      </c>
      <c r="L41">
        <v>128.9635638</v>
      </c>
      <c r="M41">
        <f t="shared" si="4"/>
        <v>3.9011302498638756</v>
      </c>
      <c r="N41">
        <v>1299.8712700000001</v>
      </c>
      <c r="O41">
        <f t="shared" si="5"/>
        <v>109.02856579686807</v>
      </c>
      <c r="P41">
        <v>898.15442480000002</v>
      </c>
      <c r="Q41">
        <f t="shared" si="6"/>
        <v>3.2790129049687851</v>
      </c>
      <c r="R41">
        <v>1755.2810999999999</v>
      </c>
      <c r="S41">
        <f t="shared" si="7"/>
        <v>669.95461832061062</v>
      </c>
      <c r="T41">
        <v>1131.60367</v>
      </c>
      <c r="U41">
        <f t="shared" si="8"/>
        <v>11.74715737568774</v>
      </c>
      <c r="V41">
        <v>818.86758699999996</v>
      </c>
      <c r="W41">
        <f t="shared" si="9"/>
        <v>1611.9440688976376</v>
      </c>
      <c r="X41">
        <v>2.3687944910000001</v>
      </c>
      <c r="Y41">
        <f t="shared" si="10"/>
        <v>4.599600953398058</v>
      </c>
      <c r="Z41">
        <v>40.248815380000003</v>
      </c>
      <c r="AA41">
        <f t="shared" si="11"/>
        <v>1.4561800065123012</v>
      </c>
      <c r="AB41">
        <v>48.86805253</v>
      </c>
      <c r="AC41">
        <f t="shared" si="12"/>
        <v>9.3082004819047626</v>
      </c>
      <c r="AD41">
        <v>857.5952115</v>
      </c>
      <c r="AE41">
        <f t="shared" si="13"/>
        <v>152.32597007104795</v>
      </c>
    </row>
    <row r="42" spans="1:31">
      <c r="A42" t="s">
        <v>826</v>
      </c>
      <c r="B42">
        <v>48</v>
      </c>
      <c r="C42">
        <v>1</v>
      </c>
      <c r="D42">
        <v>2.6875801400000001</v>
      </c>
      <c r="E42">
        <f t="shared" si="0"/>
        <v>1.1014672704918034</v>
      </c>
      <c r="F42">
        <v>2.294747697</v>
      </c>
      <c r="G42">
        <f t="shared" si="1"/>
        <v>1.182859637628866</v>
      </c>
      <c r="H42">
        <v>1234.6830299999999</v>
      </c>
      <c r="I42">
        <f t="shared" si="2"/>
        <v>58.906633110687018</v>
      </c>
      <c r="J42">
        <v>144</v>
      </c>
      <c r="K42">
        <f t="shared" si="3"/>
        <v>17.881534831739721</v>
      </c>
      <c r="L42">
        <v>250.71856220000001</v>
      </c>
      <c r="M42">
        <f t="shared" si="4"/>
        <v>7.5842023776393006</v>
      </c>
      <c r="N42">
        <v>3573.8375299999998</v>
      </c>
      <c r="O42">
        <f t="shared" si="5"/>
        <v>299.76074499048002</v>
      </c>
      <c r="P42">
        <v>1418.278364</v>
      </c>
      <c r="Q42">
        <f t="shared" si="6"/>
        <v>5.177899178562301</v>
      </c>
      <c r="R42">
        <v>416.81353999999999</v>
      </c>
      <c r="S42">
        <f t="shared" si="7"/>
        <v>159.08913740458013</v>
      </c>
      <c r="T42">
        <v>549.98876399999995</v>
      </c>
      <c r="U42">
        <f t="shared" si="8"/>
        <v>5.7094234817813758</v>
      </c>
      <c r="V42">
        <v>893.459383</v>
      </c>
      <c r="W42">
        <f t="shared" si="9"/>
        <v>1758.7783129921261</v>
      </c>
      <c r="X42">
        <v>3.10930398</v>
      </c>
      <c r="Y42">
        <f t="shared" si="10"/>
        <v>6.037483456310679</v>
      </c>
      <c r="Z42">
        <v>148.14023359999999</v>
      </c>
      <c r="AA42">
        <f t="shared" si="11"/>
        <v>5.3596321852387838</v>
      </c>
      <c r="AB42">
        <v>53.31951188</v>
      </c>
      <c r="AC42">
        <f t="shared" si="12"/>
        <v>10.156097500952381</v>
      </c>
      <c r="AD42">
        <v>1591.9636379999999</v>
      </c>
      <c r="AE42">
        <f t="shared" si="13"/>
        <v>282.76441172291294</v>
      </c>
    </row>
    <row r="43" spans="1:31">
      <c r="A43" t="s">
        <v>826</v>
      </c>
      <c r="B43">
        <v>48</v>
      </c>
      <c r="C43">
        <v>2</v>
      </c>
      <c r="D43">
        <v>3.456762334</v>
      </c>
      <c r="E43">
        <f t="shared" si="0"/>
        <v>1.4167058745901639</v>
      </c>
      <c r="F43">
        <v>4.6754672470000003</v>
      </c>
      <c r="G43">
        <f t="shared" si="1"/>
        <v>2.4100346634020622</v>
      </c>
      <c r="H43">
        <v>1215.7740100000001</v>
      </c>
      <c r="I43">
        <f t="shared" si="2"/>
        <v>58.004485209923665</v>
      </c>
      <c r="J43">
        <v>58.93254649</v>
      </c>
      <c r="K43">
        <f t="shared" si="3"/>
        <v>7.3180859915559413</v>
      </c>
      <c r="L43">
        <v>109.9720203</v>
      </c>
      <c r="M43">
        <f t="shared" si="4"/>
        <v>3.3266386442011009</v>
      </c>
      <c r="N43">
        <v>2666.98261</v>
      </c>
      <c r="O43">
        <f t="shared" si="5"/>
        <v>223.69698883604673</v>
      </c>
      <c r="P43">
        <v>1273.272976</v>
      </c>
      <c r="Q43">
        <f t="shared" si="6"/>
        <v>4.6485085466028986</v>
      </c>
      <c r="R43">
        <v>1364.6601900000001</v>
      </c>
      <c r="S43">
        <f t="shared" si="7"/>
        <v>520.86266793893128</v>
      </c>
      <c r="T43">
        <v>554.22425299999998</v>
      </c>
      <c r="U43">
        <f t="shared" si="8"/>
        <v>5.7533920170248107</v>
      </c>
      <c r="V43">
        <v>1273.27298</v>
      </c>
      <c r="W43">
        <f t="shared" si="9"/>
        <v>2506.4428740157477</v>
      </c>
      <c r="X43">
        <v>2.4868612809999999</v>
      </c>
      <c r="Y43">
        <f t="shared" si="10"/>
        <v>4.8288568563106793</v>
      </c>
      <c r="Z43">
        <v>114.2928757</v>
      </c>
      <c r="AA43">
        <f t="shared" si="11"/>
        <v>4.1350533900144715</v>
      </c>
      <c r="AB43">
        <v>53.730127950000004</v>
      </c>
      <c r="AC43">
        <f t="shared" si="12"/>
        <v>10.234310085714286</v>
      </c>
      <c r="AD43">
        <v>987.51535339999998</v>
      </c>
      <c r="AE43">
        <f t="shared" si="13"/>
        <v>175.40237182948491</v>
      </c>
    </row>
    <row r="44" spans="1:31">
      <c r="A44" t="s">
        <v>826</v>
      </c>
      <c r="B44">
        <v>48</v>
      </c>
      <c r="C44">
        <v>3</v>
      </c>
      <c r="D44">
        <v>4.0180007299999998</v>
      </c>
      <c r="E44">
        <f t="shared" si="0"/>
        <v>1.6467216106557376</v>
      </c>
      <c r="F44">
        <v>3.2729645629999999</v>
      </c>
      <c r="G44">
        <f t="shared" si="1"/>
        <v>1.6870951355670103</v>
      </c>
      <c r="H44">
        <v>1016.56609</v>
      </c>
      <c r="I44">
        <f t="shared" si="2"/>
        <v>48.500290553435114</v>
      </c>
      <c r="J44">
        <v>109.3509257</v>
      </c>
      <c r="K44">
        <f t="shared" si="3"/>
        <v>13.578905463802309</v>
      </c>
      <c r="L44">
        <v>234.39884050000001</v>
      </c>
      <c r="M44">
        <f t="shared" si="4"/>
        <v>7.0905330177264201</v>
      </c>
      <c r="N44">
        <v>1670.60501</v>
      </c>
      <c r="O44">
        <f t="shared" si="5"/>
        <v>140.12438958925711</v>
      </c>
      <c r="P44">
        <v>4740.7407409999996</v>
      </c>
      <c r="Q44">
        <f t="shared" si="6"/>
        <v>17.307658504618303</v>
      </c>
      <c r="R44">
        <v>1919.0212300000001</v>
      </c>
      <c r="S44">
        <f t="shared" si="7"/>
        <v>732.4508511450382</v>
      </c>
      <c r="T44">
        <v>417.651253</v>
      </c>
      <c r="U44">
        <f t="shared" si="8"/>
        <v>4.3356301567528286</v>
      </c>
      <c r="V44">
        <v>363.58653399999997</v>
      </c>
      <c r="W44">
        <f t="shared" si="9"/>
        <v>715.72152362204713</v>
      </c>
      <c r="X44">
        <v>12.21766584</v>
      </c>
      <c r="Y44">
        <f t="shared" si="10"/>
        <v>23.723622990291261</v>
      </c>
      <c r="Z44">
        <v>115.1730505</v>
      </c>
      <c r="AA44">
        <f t="shared" si="11"/>
        <v>4.1668976302460203</v>
      </c>
      <c r="AB44">
        <v>182.3917649</v>
      </c>
      <c r="AC44">
        <f t="shared" si="12"/>
        <v>34.741288552380951</v>
      </c>
      <c r="AD44">
        <v>4423.2675149999995</v>
      </c>
      <c r="AE44">
        <f t="shared" si="13"/>
        <v>785.66030461811715</v>
      </c>
    </row>
    <row r="45" spans="1:31">
      <c r="A45" t="s">
        <v>635</v>
      </c>
      <c r="B45">
        <v>48</v>
      </c>
      <c r="C45">
        <v>4</v>
      </c>
      <c r="D45">
        <v>4.0542076624999996</v>
      </c>
      <c r="E45">
        <f t="shared" si="0"/>
        <v>1.6615605174180326</v>
      </c>
      <c r="F45">
        <v>2.1615496049999998</v>
      </c>
      <c r="G45">
        <f t="shared" si="1"/>
        <v>1.1142008273195876</v>
      </c>
      <c r="H45">
        <v>415.24479000000002</v>
      </c>
      <c r="I45">
        <f t="shared" si="2"/>
        <v>19.811297232824426</v>
      </c>
      <c r="J45">
        <v>18.351400439999999</v>
      </c>
      <c r="K45">
        <f t="shared" si="3"/>
        <v>2.2788278206879422</v>
      </c>
      <c r="L45">
        <v>59.623875920000003</v>
      </c>
      <c r="M45">
        <f t="shared" si="4"/>
        <v>1.8036141303164137</v>
      </c>
      <c r="N45">
        <v>859.77673200000004</v>
      </c>
      <c r="O45">
        <f t="shared" si="5"/>
        <v>72.115005661659254</v>
      </c>
      <c r="P45">
        <v>629.39340760000005</v>
      </c>
      <c r="Q45">
        <f t="shared" si="6"/>
        <v>2.2978109875506552</v>
      </c>
      <c r="R45">
        <v>1514.35205</v>
      </c>
      <c r="S45">
        <f t="shared" si="7"/>
        <v>577.99696564885494</v>
      </c>
      <c r="T45">
        <v>322.052391</v>
      </c>
      <c r="U45">
        <f t="shared" si="8"/>
        <v>3.3432200872002493</v>
      </c>
      <c r="V45">
        <v>466.096518</v>
      </c>
      <c r="W45">
        <f t="shared" si="9"/>
        <v>917.51283070866145</v>
      </c>
      <c r="X45">
        <v>1.906797436</v>
      </c>
      <c r="Y45">
        <f t="shared" si="10"/>
        <v>3.7025192932038835</v>
      </c>
      <c r="Z45">
        <v>419.02624070000002</v>
      </c>
      <c r="AA45">
        <f t="shared" si="11"/>
        <v>15.160138954413894</v>
      </c>
      <c r="AB45">
        <v>35.864507740000001</v>
      </c>
      <c r="AC45">
        <f t="shared" si="12"/>
        <v>6.8313348076190481</v>
      </c>
      <c r="AD45">
        <v>869.76685659999998</v>
      </c>
      <c r="AE45">
        <f t="shared" si="13"/>
        <v>154.48789637655418</v>
      </c>
    </row>
    <row r="46" spans="1:31">
      <c r="A46" t="s">
        <v>635</v>
      </c>
      <c r="B46">
        <v>48</v>
      </c>
      <c r="C46">
        <v>5</v>
      </c>
      <c r="D46">
        <v>2.9877147963333335</v>
      </c>
      <c r="E46">
        <f t="shared" si="0"/>
        <v>1.2244732771857925</v>
      </c>
      <c r="F46" s="41">
        <v>1.939677037</v>
      </c>
      <c r="G46" s="41">
        <f t="shared" si="1"/>
        <v>0.99983352422680416</v>
      </c>
      <c r="H46">
        <v>869.44597099999999</v>
      </c>
      <c r="I46">
        <f t="shared" si="2"/>
        <v>41.481200906488546</v>
      </c>
      <c r="J46">
        <v>25.94322455</v>
      </c>
      <c r="K46">
        <f t="shared" si="3"/>
        <v>3.2215602322115977</v>
      </c>
      <c r="L46">
        <v>58.240569929999999</v>
      </c>
      <c r="M46">
        <f t="shared" si="4"/>
        <v>1.7617693124205942</v>
      </c>
      <c r="N46">
        <v>1585.38689</v>
      </c>
      <c r="O46">
        <f t="shared" si="5"/>
        <v>132.9765976363621</v>
      </c>
      <c r="P46">
        <v>5066.5928910000002</v>
      </c>
      <c r="Q46">
        <f t="shared" si="6"/>
        <v>18.497290683071082</v>
      </c>
      <c r="R46">
        <v>1821.13131</v>
      </c>
      <c r="S46">
        <f t="shared" si="7"/>
        <v>695.08828625954197</v>
      </c>
      <c r="T46">
        <v>1174.0563199999999</v>
      </c>
      <c r="U46">
        <f t="shared" si="8"/>
        <v>12.187857572926399</v>
      </c>
      <c r="V46">
        <v>1287.7343000000001</v>
      </c>
      <c r="W46">
        <f t="shared" si="9"/>
        <v>2534.9100393700787</v>
      </c>
      <c r="X46">
        <v>4.4080284289999998</v>
      </c>
      <c r="Y46">
        <f t="shared" si="10"/>
        <v>8.5592785029126208</v>
      </c>
      <c r="Z46">
        <v>99.123250369999994</v>
      </c>
      <c r="AA46">
        <f t="shared" si="11"/>
        <v>3.5862246877713457</v>
      </c>
      <c r="AB46">
        <v>251</v>
      </c>
      <c r="AC46">
        <f t="shared" si="12"/>
        <v>47.80952380952381</v>
      </c>
      <c r="AD46">
        <v>3500.7949870000002</v>
      </c>
      <c r="AE46">
        <f t="shared" si="13"/>
        <v>621.81083250444055</v>
      </c>
    </row>
    <row r="47" spans="1:31">
      <c r="A47" t="s">
        <v>635</v>
      </c>
      <c r="B47">
        <v>48</v>
      </c>
      <c r="C47">
        <v>6</v>
      </c>
      <c r="D47" s="41">
        <v>2.4455645320000001</v>
      </c>
      <c r="E47" s="41">
        <f t="shared" si="0"/>
        <v>1.0022805459016395</v>
      </c>
      <c r="F47">
        <v>2.2166358750000001</v>
      </c>
      <c r="G47">
        <f t="shared" si="1"/>
        <v>1.1425958118556703</v>
      </c>
      <c r="H47" t="s">
        <v>272</v>
      </c>
      <c r="I47" t="s">
        <v>272</v>
      </c>
      <c r="J47">
        <v>22.246708720000001</v>
      </c>
      <c r="K47">
        <f t="shared" si="3"/>
        <v>2.7625367838072767</v>
      </c>
      <c r="L47">
        <v>95.373728130000003</v>
      </c>
      <c r="M47">
        <f t="shared" si="4"/>
        <v>2.8850422932421806</v>
      </c>
      <c r="P47">
        <v>1734.1651830000001</v>
      </c>
      <c r="Q47">
        <f t="shared" si="6"/>
        <v>6.3311495856303166</v>
      </c>
      <c r="X47">
        <v>4.4178944250000001</v>
      </c>
      <c r="Y47">
        <f t="shared" si="10"/>
        <v>8.5784357766990293</v>
      </c>
      <c r="Z47">
        <v>380.952381</v>
      </c>
      <c r="AA47">
        <f t="shared" si="11"/>
        <v>13.782647648335745</v>
      </c>
      <c r="AB47">
        <v>82.140715520000001</v>
      </c>
      <c r="AC47">
        <f t="shared" si="12"/>
        <v>15.645850575238095</v>
      </c>
      <c r="AD47">
        <v>1655.8530639999999</v>
      </c>
      <c r="AE47">
        <f t="shared" si="13"/>
        <v>294.11244476021312</v>
      </c>
    </row>
    <row r="49" spans="2:31">
      <c r="C49" s="61" t="s">
        <v>924</v>
      </c>
      <c r="F49" s="60" t="s">
        <v>918</v>
      </c>
      <c r="H49" s="60" t="s">
        <v>779</v>
      </c>
      <c r="J49" s="60" t="s">
        <v>763</v>
      </c>
      <c r="L49" s="60" t="s">
        <v>759</v>
      </c>
      <c r="N49" s="60" t="s">
        <v>770</v>
      </c>
      <c r="P49" s="61" t="s">
        <v>926</v>
      </c>
      <c r="R49" s="60" t="s">
        <v>928</v>
      </c>
      <c r="T49" s="60" t="s">
        <v>797</v>
      </c>
      <c r="V49" s="60" t="s">
        <v>786</v>
      </c>
      <c r="X49" s="61" t="s">
        <v>936</v>
      </c>
      <c r="Z49" s="61" t="s">
        <v>932</v>
      </c>
      <c r="AB49" s="61" t="s">
        <v>931</v>
      </c>
      <c r="AD49" s="61" t="s">
        <v>933</v>
      </c>
    </row>
    <row r="50" spans="2:31">
      <c r="C50" t="s">
        <v>919</v>
      </c>
      <c r="D50" t="s">
        <v>920</v>
      </c>
      <c r="F50" t="s">
        <v>919</v>
      </c>
      <c r="G50" t="s">
        <v>920</v>
      </c>
      <c r="H50" t="s">
        <v>919</v>
      </c>
      <c r="I50" t="s">
        <v>920</v>
      </c>
      <c r="J50" t="s">
        <v>919</v>
      </c>
      <c r="K50" t="s">
        <v>920</v>
      </c>
      <c r="L50" t="s">
        <v>919</v>
      </c>
      <c r="M50" t="s">
        <v>920</v>
      </c>
      <c r="N50" t="s">
        <v>919</v>
      </c>
      <c r="O50" t="s">
        <v>920</v>
      </c>
      <c r="P50" t="s">
        <v>919</v>
      </c>
      <c r="Q50" t="s">
        <v>920</v>
      </c>
      <c r="R50" t="s">
        <v>919</v>
      </c>
      <c r="S50" t="s">
        <v>920</v>
      </c>
      <c r="T50" t="s">
        <v>919</v>
      </c>
      <c r="U50" t="s">
        <v>920</v>
      </c>
      <c r="V50" t="s">
        <v>919</v>
      </c>
      <c r="W50" t="s">
        <v>920</v>
      </c>
      <c r="X50" t="s">
        <v>919</v>
      </c>
      <c r="Y50" t="s">
        <v>920</v>
      </c>
      <c r="Z50" t="s">
        <v>919</v>
      </c>
      <c r="AA50" t="s">
        <v>920</v>
      </c>
      <c r="AB50" t="s">
        <v>919</v>
      </c>
      <c r="AC50" t="s">
        <v>920</v>
      </c>
      <c r="AD50" t="s">
        <v>919</v>
      </c>
      <c r="AE50" t="s">
        <v>920</v>
      </c>
    </row>
    <row r="51" spans="2:31">
      <c r="B51" t="s">
        <v>257</v>
      </c>
      <c r="C51">
        <f>AVERAGE(D2:D23)</f>
        <v>707.28313176190488</v>
      </c>
      <c r="D51">
        <f>AVERAGE(D24:D47)</f>
        <v>13.498579457611115</v>
      </c>
      <c r="E51" t="s">
        <v>257</v>
      </c>
      <c r="F51">
        <f>AVERAGE(G2:G23)</f>
        <v>37.480011745213559</v>
      </c>
      <c r="G51">
        <f>AVERAGE(G24:G47)</f>
        <v>3.4157619646907205</v>
      </c>
      <c r="H51">
        <f>AVERAGE(H2:H23)</f>
        <v>69.441276537142841</v>
      </c>
      <c r="I51">
        <f>AVERAGE(H24:H46)</f>
        <v>1077.6370443478261</v>
      </c>
      <c r="J51">
        <v>26.888156697108926</v>
      </c>
      <c r="K51">
        <v>5.2328045966823957</v>
      </c>
      <c r="L51">
        <f>AVERAGE(M2:M23)</f>
        <v>3.3543367347864792</v>
      </c>
      <c r="M51">
        <f>AVERAGE(M24:M47)</f>
        <v>3.4112288068445356</v>
      </c>
      <c r="N51">
        <f>AVERAGE(O2:O23)</f>
        <v>2.1478983656876687</v>
      </c>
      <c r="O51">
        <f>AVERAGE(O24:O47)</f>
        <v>136.76810850620083</v>
      </c>
      <c r="P51">
        <f>AVERAGE(Q2:Q23)</f>
        <v>3.3246144432564741</v>
      </c>
      <c r="Q51">
        <f>AVERAGE(Q24:Q47)</f>
        <v>8.1685594737930955</v>
      </c>
      <c r="R51">
        <f>AVERAGE(S2:S23)</f>
        <v>2.1183661107415483</v>
      </c>
      <c r="S51">
        <f>AVERAGE(S24:S47)</f>
        <v>555.8617244968774</v>
      </c>
      <c r="T51">
        <f>AVERAGE(U2:U23)</f>
        <v>2.1738496541303953</v>
      </c>
      <c r="U51">
        <f>AVERAGE(U24:U47)</f>
        <v>9.4421692736472025</v>
      </c>
      <c r="V51">
        <f>AVERAGE(W2:W23)</f>
        <v>3.5442239501312325</v>
      </c>
      <c r="W51">
        <f>AVERAGE(W24:W47)</f>
        <v>1846.2543884799725</v>
      </c>
      <c r="X51">
        <f>AVERAGE(Y2:Y23)</f>
        <v>6.1238357213592227</v>
      </c>
      <c r="Y51">
        <f>AVERAGE(Y24:Y47)</f>
        <v>8.8488093247572834</v>
      </c>
      <c r="Z51">
        <f>AVERAGE(AA2:AA23)</f>
        <v>3.1525341728391001</v>
      </c>
      <c r="AA51">
        <f>AVERAGE(AA24:AA47)</f>
        <v>7.6607158041365162</v>
      </c>
      <c r="AB51">
        <f>AVERAGE(AC2:AC23)</f>
        <v>2.3685077552467537</v>
      </c>
      <c r="AC51">
        <f>AVERAGE(AC24:AC47)</f>
        <v>15.938260659380953</v>
      </c>
      <c r="AD51">
        <f>AVERAGE(AE2:AE23)</f>
        <v>6.2412296250605523</v>
      </c>
      <c r="AE51">
        <f>AVERAGE(AE24:AE47)</f>
        <v>362.6423968161634</v>
      </c>
    </row>
    <row r="52" spans="2:31">
      <c r="B52" t="s">
        <v>135</v>
      </c>
      <c r="C52">
        <f>STDEV(D2:D23)</f>
        <v>391.64966761665784</v>
      </c>
      <c r="D52">
        <f>STDEV(D24:D47)</f>
        <v>13.005169903275059</v>
      </c>
      <c r="E52" t="s">
        <v>135</v>
      </c>
      <c r="F52">
        <f>STDEV(G2:G23)</f>
        <v>18.436697008326654</v>
      </c>
      <c r="G52">
        <f>STDEV(G24:G47)</f>
        <v>2.5182847800668302</v>
      </c>
      <c r="H52">
        <f>STDEV(H2:H23)</f>
        <v>32.454084305063411</v>
      </c>
      <c r="I52">
        <f>STDEV(H24:H46)</f>
        <v>594.85876910925015</v>
      </c>
      <c r="J52">
        <v>9.9235491749716171</v>
      </c>
      <c r="K52">
        <v>3.8133260685186974</v>
      </c>
      <c r="L52">
        <f>STDEV(M2:M23)</f>
        <v>0.94474132231027996</v>
      </c>
      <c r="M52">
        <f>STDEV(M24:M47)</f>
        <v>1.771694240053767</v>
      </c>
      <c r="N52">
        <f>STDEV(O2:O23)</f>
        <v>0.70850065632566883</v>
      </c>
      <c r="O52">
        <f>STDEV(O24:O47)</f>
        <v>75.154041660451682</v>
      </c>
      <c r="P52">
        <f>STDEV(Q2:Q23)</f>
        <v>2.1141495023694596</v>
      </c>
      <c r="Q52">
        <f>STDEV(Q24:Q47)</f>
        <v>10.054456688034929</v>
      </c>
      <c r="R52">
        <f>STDEV(S2:S23)</f>
        <v>0.78656038176751675</v>
      </c>
      <c r="S52">
        <f>STDEV(S24:S47)</f>
        <v>335.90474819153314</v>
      </c>
      <c r="T52">
        <f>STDEV(U2:U23)</f>
        <v>0.79625338162315706</v>
      </c>
      <c r="U52">
        <f>STDEV(U24:U47)</f>
        <v>6.5205862339554894</v>
      </c>
      <c r="V52">
        <f>STDEV(W2:W23)</f>
        <v>1.5155098180548272</v>
      </c>
      <c r="W52">
        <f>STDEV(W24:W47)</f>
        <v>1007.1932976192944</v>
      </c>
      <c r="X52">
        <f>STDEV(Y2:Y23)</f>
        <v>3.903391601873182</v>
      </c>
      <c r="Y52">
        <f>STDEV(Y24:Y47)</f>
        <v>9.7613267742217449</v>
      </c>
      <c r="Z52">
        <f>STDEV(AA2:AA23)</f>
        <v>1.8525745204945319</v>
      </c>
      <c r="AA52">
        <f>STDEV(AA24:AA47)</f>
        <v>7.5503628131606639</v>
      </c>
      <c r="AB52">
        <f>STDEV(AC2:AC23)</f>
        <v>1.1953925264266676</v>
      </c>
      <c r="AC52">
        <f>STDEV(AC24:AC47)</f>
        <v>16.478262578901997</v>
      </c>
      <c r="AD52">
        <f>STDEV(AE2:AE23)</f>
        <v>5.0209449632788292</v>
      </c>
      <c r="AE52">
        <f>STDEV(AE24:AE47)</f>
        <v>369.99732578373965</v>
      </c>
    </row>
    <row r="53" spans="2:31">
      <c r="B53" t="s">
        <v>136</v>
      </c>
      <c r="C53">
        <f>C52/SQRT(21)</f>
        <v>85.46496417893475</v>
      </c>
      <c r="D53">
        <f>D52/SQRT(24)</f>
        <v>2.6546691901020631</v>
      </c>
      <c r="E53" t="s">
        <v>136</v>
      </c>
      <c r="F53">
        <f>F52/SQRT(21)</f>
        <v>4.0232171240772754</v>
      </c>
      <c r="G53">
        <f>G52/SQRT(24)</f>
        <v>0.51404272818172436</v>
      </c>
      <c r="H53">
        <f>H52/SQRT(23)</f>
        <v>6.767144372629204</v>
      </c>
      <c r="I53">
        <f>I52/SQRT(23)</f>
        <v>124.03662768752802</v>
      </c>
      <c r="J53">
        <v>2.0692030415857747</v>
      </c>
      <c r="K53">
        <v>0.77839192422702108</v>
      </c>
      <c r="L53">
        <f>L52/SQRT(23)</f>
        <v>0.19699218325703405</v>
      </c>
      <c r="M53">
        <f>M52/SQRT(24)</f>
        <v>0.36164557236331168</v>
      </c>
      <c r="N53">
        <f>N52/SQRT(23)</f>
        <v>0.14773259921279974</v>
      </c>
      <c r="O53">
        <f>O52/SQRT(24)</f>
        <v>15.340754514664672</v>
      </c>
      <c r="P53">
        <f>P52/SQRT(23)</f>
        <v>0.44083064471562411</v>
      </c>
      <c r="Q53">
        <f>Q52/SQRT(24)</f>
        <v>2.052357377216607</v>
      </c>
      <c r="R53">
        <f>R52/SQRT(23)</f>
        <v>0.16400917712476279</v>
      </c>
      <c r="S53">
        <f>S52/SQRT(24)</f>
        <v>68.566269603943894</v>
      </c>
      <c r="T53">
        <f>T52/SQRT(23)</f>
        <v>0.16603030731011695</v>
      </c>
      <c r="U53">
        <f>U52/SQRT(24)</f>
        <v>1.3310090914172639</v>
      </c>
      <c r="V53">
        <f>V52/SQRT(23)</f>
        <v>0.31600564170944628</v>
      </c>
      <c r="W53">
        <f>W52/SQRT(24)</f>
        <v>205.59247095986888</v>
      </c>
      <c r="X53">
        <f>X52/SQRT(23)</f>
        <v>0.81391341269989304</v>
      </c>
      <c r="Y53">
        <f>Y52/SQRT(24)</f>
        <v>1.992522484117581</v>
      </c>
      <c r="Z53">
        <f>Z52/SQRT(23)</f>
        <v>0.38628849063798359</v>
      </c>
      <c r="AA53">
        <f>AA52/SQRT(24)</f>
        <v>1.5412113554273825</v>
      </c>
      <c r="AB53">
        <f>AB52/SQRT(23)</f>
        <v>0.24925657221606287</v>
      </c>
      <c r="AC53">
        <f>AC52/SQRT(24)</f>
        <v>3.3636112638256939</v>
      </c>
      <c r="AD53">
        <f>AD52/SQRT(23)</f>
        <v>1.046939397030906</v>
      </c>
      <c r="AE53">
        <f>AE52/SQRT(24)</f>
        <v>75.525387863706356</v>
      </c>
    </row>
    <row r="54" spans="2:31">
      <c r="C54" t="s">
        <v>921</v>
      </c>
      <c r="D54" t="s">
        <v>922</v>
      </c>
      <c r="F54" t="s">
        <v>921</v>
      </c>
      <c r="G54" t="s">
        <v>922</v>
      </c>
      <c r="H54" t="s">
        <v>921</v>
      </c>
      <c r="I54" t="s">
        <v>922</v>
      </c>
      <c r="J54" t="s">
        <v>921</v>
      </c>
      <c r="K54" t="s">
        <v>922</v>
      </c>
      <c r="L54" t="s">
        <v>921</v>
      </c>
      <c r="M54" t="s">
        <v>922</v>
      </c>
      <c r="N54" t="s">
        <v>921</v>
      </c>
      <c r="O54" t="s">
        <v>922</v>
      </c>
      <c r="P54" t="s">
        <v>921</v>
      </c>
      <c r="Q54" t="s">
        <v>922</v>
      </c>
      <c r="R54" t="s">
        <v>921</v>
      </c>
      <c r="S54" t="s">
        <v>922</v>
      </c>
      <c r="T54" t="s">
        <v>921</v>
      </c>
      <c r="U54" t="s">
        <v>922</v>
      </c>
      <c r="V54" t="s">
        <v>921</v>
      </c>
      <c r="W54" t="s">
        <v>922</v>
      </c>
      <c r="X54" t="s">
        <v>921</v>
      </c>
      <c r="Y54" t="s">
        <v>922</v>
      </c>
      <c r="Z54" t="s">
        <v>921</v>
      </c>
      <c r="AA54" t="s">
        <v>922</v>
      </c>
      <c r="AB54" t="s">
        <v>921</v>
      </c>
      <c r="AC54" t="s">
        <v>922</v>
      </c>
      <c r="AD54" t="s">
        <v>921</v>
      </c>
      <c r="AE54" t="s">
        <v>922</v>
      </c>
    </row>
    <row r="55" spans="2:31">
      <c r="B55" t="s">
        <v>257</v>
      </c>
      <c r="C55">
        <f>AVERAGE(D24:D47,D2:D11)</f>
        <v>207.51638862007846</v>
      </c>
      <c r="D55">
        <f>AVERAGE(D13:D23)</f>
        <v>738.30495099090911</v>
      </c>
      <c r="E55" t="s">
        <v>257</v>
      </c>
      <c r="F55">
        <f>AVERAGE(G24:G47,G2:G11)</f>
        <v>13.801956862583383</v>
      </c>
      <c r="G55">
        <f>AVERAGE(G13:G23)</f>
        <v>36.344727315838803</v>
      </c>
      <c r="H55">
        <f>AVERAGE(H24:H46,H2:H12)</f>
        <v>768.68941455939409</v>
      </c>
      <c r="I55">
        <f>AVERAGE(H13:H23)</f>
        <v>79.742558801818163</v>
      </c>
      <c r="J55">
        <v>12.041744352816997</v>
      </c>
      <c r="K55">
        <v>27.722264807017144</v>
      </c>
      <c r="L55">
        <f>AVERAGE(M24:M47,M2:M11)</f>
        <v>3.4291749799105316</v>
      </c>
      <c r="M55">
        <f>AVERAGE(M13:M23)</f>
        <v>3.2471466798024413</v>
      </c>
      <c r="N55">
        <f>AVERAGE(O24:O47,O2:O11)</f>
        <v>95.913317887996499</v>
      </c>
      <c r="O55">
        <f>AVERAGE(O13:O23)</f>
        <v>2.3302610016523655</v>
      </c>
      <c r="P55">
        <f>AVERAGE(Q24:Q47,Q2:Q11)</f>
        <v>6.5689141773704129</v>
      </c>
      <c r="Q55">
        <f>AVERAGE(Q13:Q23)</f>
        <v>3.8653862408023869</v>
      </c>
      <c r="R55">
        <f>AVERAGE(S24:S47,S2:S11)</f>
        <v>382.83029521940614</v>
      </c>
      <c r="S55">
        <f>AVERAGE(S13:S23)</f>
        <v>2.0794709305343511</v>
      </c>
      <c r="T55">
        <f>AVERAGE(U24:U47,U2:U11)</f>
        <v>7.2510632418013854</v>
      </c>
      <c r="U55">
        <f>AVERAGE(U13:U23)</f>
        <v>2.1396044591980217</v>
      </c>
      <c r="V55">
        <f>AVERAGE(W24:W47,W2:W11)</f>
        <v>1287.6773669390955</v>
      </c>
      <c r="W55">
        <f>AVERAGE(W13:W23)</f>
        <v>4.0842299092698644</v>
      </c>
      <c r="X55">
        <f>AVERAGE(Y24:Y47,Y2:Y11)</f>
        <v>7.8336519953740735</v>
      </c>
      <c r="Y55">
        <f>AVERAGE(Y13:Y23)</f>
        <v>6.8580099475728158</v>
      </c>
      <c r="Z55">
        <f>AVERAGE(AA24:AA47,AA2:AA11)</f>
        <v>6.5220467346684261</v>
      </c>
      <c r="AA55">
        <f>AVERAGE(AA13:AA23)</f>
        <v>2.665416393007499</v>
      </c>
      <c r="AB55">
        <f>AVERAGE(AC24:AC47,AC2:AC11)</f>
        <v>11.935682040649864</v>
      </c>
      <c r="AC55">
        <f>AVERAGE(AC13:AC23)</f>
        <v>2.5034399445541125</v>
      </c>
      <c r="AD55">
        <f>AVERAGE(AE24:AE47,AE2:AE11)</f>
        <v>257.60722703322534</v>
      </c>
      <c r="AE55">
        <f>AVERAGE(AE13:AE23)</f>
        <v>7.0841074626190874</v>
      </c>
    </row>
    <row r="56" spans="2:31">
      <c r="B56" t="s">
        <v>135</v>
      </c>
      <c r="C56">
        <f>STDEV(D24:D47,D2:D11)</f>
        <v>336.16953107903367</v>
      </c>
      <c r="D56">
        <f>STDEV(D13:D23)</f>
        <v>489.05848148883746</v>
      </c>
      <c r="E56" t="s">
        <v>135</v>
      </c>
      <c r="F56">
        <f>STDEV(G24:G47,G2:G11)</f>
        <v>20.433821615597601</v>
      </c>
      <c r="G56">
        <f>STDEV(G13:G23)</f>
        <v>13.920878968699606</v>
      </c>
      <c r="H56">
        <f>STDEV(H24:H46,H2:H11)</f>
        <v>685.57754104397338</v>
      </c>
      <c r="I56">
        <f>STDEV(H13:H23)</f>
        <v>27.365350545121416</v>
      </c>
      <c r="J56">
        <v>12.514765580881837</v>
      </c>
      <c r="K56">
        <v>6.3571785381115173</v>
      </c>
      <c r="L56">
        <f>STDEV(M24:M47,M2:M11)</f>
        <v>1.5568037470715177</v>
      </c>
      <c r="M56">
        <f>STDEV(M13:M23)</f>
        <v>0.9912745180715522</v>
      </c>
      <c r="N56">
        <f>STDEV(O24:O47,O2:O11)</f>
        <v>88.555921594031716</v>
      </c>
      <c r="O56">
        <f>STDEV(O13:O23)</f>
        <v>0.70972108038040382</v>
      </c>
      <c r="P56">
        <f>STDEV(Q24:Q47,Q2:Q11)</f>
        <v>8.773773140543776</v>
      </c>
      <c r="Q56">
        <f>STDEV(Q13:Q23)</f>
        <v>2.761319767061968</v>
      </c>
      <c r="R56">
        <f>STDEV(S24:S47,S2:S11)</f>
        <v>380.03599420832836</v>
      </c>
      <c r="S56">
        <f>STDEV(S13:S23)</f>
        <v>0.59231328777762826</v>
      </c>
      <c r="T56">
        <f>STDEV(U24:U47,U2:U11)</f>
        <v>6.3889283956423615</v>
      </c>
      <c r="U56">
        <f>STDEV(U13:U23)</f>
        <v>0.79076330409520645</v>
      </c>
      <c r="V56">
        <f>STDEV(W24:W47,W2:W11)</f>
        <v>1198.9459946892243</v>
      </c>
      <c r="W56">
        <f>STDEV(W13:W23)</f>
        <v>1.5441831745779937</v>
      </c>
      <c r="X56">
        <f>STDEV(Y24:Y47,Y2:Y11)</f>
        <v>8.438676030415051</v>
      </c>
      <c r="Y56">
        <f>STDEV(Y13:Y23)</f>
        <v>4.8346947142482328</v>
      </c>
      <c r="Z56">
        <f>STDEV(AA24:AA47,AA2:AA11)</f>
        <v>6.6234870345895782</v>
      </c>
      <c r="AA56">
        <f>STDEV(AA13:AA23)</f>
        <v>1.8342633525160899</v>
      </c>
      <c r="AB56">
        <f>STDEV(AC24:AC47,AC2:AC11)</f>
        <v>15.137079994232391</v>
      </c>
      <c r="AC56">
        <f>STDEV(AC13:AC23)</f>
        <v>1.4075650141354588</v>
      </c>
      <c r="AD56">
        <f>STDEV(AE24:AE47,AE2:AE11)</f>
        <v>350.28255315531101</v>
      </c>
      <c r="AE56">
        <f>STDEV(AE13:AE23)</f>
        <v>6.1621150118323929</v>
      </c>
    </row>
    <row r="57" spans="2:31">
      <c r="B57" t="s">
        <v>136</v>
      </c>
      <c r="C57">
        <f>C56/SQRT(34)</f>
        <v>57.652598948074925</v>
      </c>
      <c r="D57">
        <f>D56/SQRT(11)</f>
        <v>147.45668033085872</v>
      </c>
      <c r="E57" t="s">
        <v>136</v>
      </c>
      <c r="F57">
        <f>F56/SQRT(34)</f>
        <v>3.5043714961294024</v>
      </c>
      <c r="G57">
        <f>G56/SQRT(11)</f>
        <v>4.1973029355569293</v>
      </c>
      <c r="H57">
        <f>H56/SQRT(34)</f>
        <v>117.5755782945217</v>
      </c>
      <c r="I57">
        <f>I56/SQRT(11)</f>
        <v>8.2509636377013944</v>
      </c>
      <c r="J57">
        <v>2.1462645905114028</v>
      </c>
      <c r="K57">
        <v>1.9167614487469053</v>
      </c>
      <c r="L57">
        <f>L56/SQRT(34)</f>
        <v>0.26698963996732145</v>
      </c>
      <c r="M57">
        <f>M56/SQRT(11)</f>
        <v>0.29888051278942834</v>
      </c>
      <c r="N57">
        <f>N56/SQRT(34)</f>
        <v>15.187215259367385</v>
      </c>
      <c r="O57">
        <f>O56/SQRT(11)</f>
        <v>0.21398895722067862</v>
      </c>
      <c r="P57">
        <f>P56/SQRT(34)</f>
        <v>1.5046896799646039</v>
      </c>
      <c r="Q57">
        <f>Q56/SQRT(11)</f>
        <v>0.83256923577601105</v>
      </c>
      <c r="R57">
        <f>R56/SQRT(34)</f>
        <v>65.175635309954998</v>
      </c>
      <c r="S57">
        <f>S56/SQRT(11)</f>
        <v>0.17858917580910855</v>
      </c>
      <c r="T57">
        <f>T56/SQRT(34)</f>
        <v>1.0956921804294639</v>
      </c>
      <c r="U57">
        <f>U56/SQRT(11)</f>
        <v>0.23842410706050068</v>
      </c>
      <c r="V57">
        <f>V56/SQRT(34)</f>
        <v>205.61754175147988</v>
      </c>
      <c r="W57">
        <f>W56/SQRT(11)</f>
        <v>0.46558874524137039</v>
      </c>
      <c r="X57">
        <f>X56/SQRT(34)</f>
        <v>1.4472209996921841</v>
      </c>
      <c r="Y57">
        <f>Y56/SQRT(11)</f>
        <v>1.4577153039159914</v>
      </c>
      <c r="Z57">
        <f>Z56/SQRT(34)</f>
        <v>1.1359186551418641</v>
      </c>
      <c r="AA57">
        <f>AA56/SQRT(11)</f>
        <v>0.55305120972684263</v>
      </c>
      <c r="AB57">
        <f>AB56/SQRT(34)</f>
        <v>2.5959878021998306</v>
      </c>
      <c r="AC57">
        <f>AC56/SQRT(11)</f>
        <v>0.42439681999260104</v>
      </c>
      <c r="AD57">
        <f>AD56/SQRT(34)</f>
        <v>60.072962266241483</v>
      </c>
      <c r="AE57">
        <f>AE56/SQRT(11)</f>
        <v>1.8579475826604066</v>
      </c>
    </row>
    <row r="58" spans="2:31">
      <c r="B58" t="s">
        <v>925</v>
      </c>
    </row>
    <row r="59" spans="2:31">
      <c r="C59" t="s">
        <v>919</v>
      </c>
      <c r="D59" t="s">
        <v>920</v>
      </c>
      <c r="F59" t="s">
        <v>919</v>
      </c>
      <c r="G59" t="s">
        <v>920</v>
      </c>
      <c r="H59" t="s">
        <v>919</v>
      </c>
      <c r="I59" t="s">
        <v>920</v>
      </c>
      <c r="J59" t="s">
        <v>919</v>
      </c>
      <c r="K59" t="s">
        <v>920</v>
      </c>
      <c r="L59" t="s">
        <v>919</v>
      </c>
      <c r="M59" t="s">
        <v>920</v>
      </c>
      <c r="N59" t="s">
        <v>919</v>
      </c>
      <c r="O59" t="s">
        <v>920</v>
      </c>
      <c r="P59" t="s">
        <v>919</v>
      </c>
      <c r="Q59" t="s">
        <v>920</v>
      </c>
      <c r="R59" t="s">
        <v>919</v>
      </c>
      <c r="S59" t="s">
        <v>920</v>
      </c>
      <c r="T59" t="s">
        <v>919</v>
      </c>
      <c r="U59" t="s">
        <v>920</v>
      </c>
      <c r="V59" t="s">
        <v>919</v>
      </c>
      <c r="W59" t="s">
        <v>920</v>
      </c>
      <c r="X59" t="s">
        <v>919</v>
      </c>
      <c r="Y59" t="s">
        <v>920</v>
      </c>
      <c r="Z59" t="s">
        <v>919</v>
      </c>
      <c r="AA59" t="s">
        <v>920</v>
      </c>
      <c r="AB59" t="s">
        <v>919</v>
      </c>
      <c r="AC59" t="s">
        <v>920</v>
      </c>
      <c r="AD59" t="s">
        <v>919</v>
      </c>
      <c r="AE59" t="s">
        <v>920</v>
      </c>
    </row>
    <row r="60" spans="2:31">
      <c r="B60" t="s">
        <v>257</v>
      </c>
      <c r="C60">
        <f>LOG(C51)</f>
        <v>2.8495933005678409</v>
      </c>
      <c r="D60">
        <f t="shared" ref="D60:M60" si="14">LOG(D51)</f>
        <v>1.1302880672963678</v>
      </c>
      <c r="F60">
        <f t="shared" si="14"/>
        <v>1.5737997183118089</v>
      </c>
      <c r="G60">
        <f t="shared" si="14"/>
        <v>0.53348759825136949</v>
      </c>
      <c r="H60">
        <f t="shared" si="14"/>
        <v>1.8416176958657475</v>
      </c>
      <c r="I60">
        <f t="shared" si="14"/>
        <v>3.032472512075846</v>
      </c>
      <c r="J60">
        <f t="shared" si="14"/>
        <v>1.4295610304228701</v>
      </c>
      <c r="K60">
        <f t="shared" si="14"/>
        <v>0.71873451762385598</v>
      </c>
      <c r="L60">
        <f t="shared" si="14"/>
        <v>0.52560665836515374</v>
      </c>
      <c r="M60">
        <f t="shared" si="14"/>
        <v>0.53291085051772913</v>
      </c>
      <c r="N60">
        <f t="shared" ref="N60:O60" si="15">LOG(N51)</f>
        <v>0.33201372755578079</v>
      </c>
      <c r="O60">
        <f t="shared" si="15"/>
        <v>2.1359848406995008</v>
      </c>
      <c r="P60">
        <f t="shared" ref="P60:Q60" si="16">LOG(P51)</f>
        <v>0.52174128727066116</v>
      </c>
      <c r="Q60">
        <f t="shared" si="16"/>
        <v>0.91214547541333701</v>
      </c>
      <c r="R60">
        <f t="shared" ref="R60:S60" si="17">LOG(R51)</f>
        <v>0.32600102004639403</v>
      </c>
      <c r="S60">
        <f t="shared" si="17"/>
        <v>2.7449667704370264</v>
      </c>
      <c r="T60">
        <f t="shared" ref="T60:U60" si="18">LOG(T51)</f>
        <v>0.33722950449755706</v>
      </c>
      <c r="U60">
        <f t="shared" si="18"/>
        <v>0.97507178194060196</v>
      </c>
      <c r="V60">
        <f t="shared" ref="V60:W60" si="19">LOG(V51)</f>
        <v>0.54952115600094442</v>
      </c>
      <c r="W60">
        <f t="shared" si="19"/>
        <v>3.2662915406235244</v>
      </c>
      <c r="X60">
        <f t="shared" ref="X60:Y60" si="20">LOG(X51)</f>
        <v>0.7870235317544837</v>
      </c>
      <c r="Y60">
        <f t="shared" si="20"/>
        <v>0.94688483697169812</v>
      </c>
      <c r="Z60">
        <f t="shared" ref="Z60:AA60" si="21">LOG(Z51)</f>
        <v>0.49865980293584555</v>
      </c>
      <c r="AA60">
        <f t="shared" si="21"/>
        <v>0.88426935125957395</v>
      </c>
      <c r="AB60">
        <f t="shared" ref="AB60:AC60" si="22">LOG(AB51)</f>
        <v>0.37447481108439212</v>
      </c>
      <c r="AC60">
        <f t="shared" si="22"/>
        <v>1.2024409251373143</v>
      </c>
      <c r="AD60">
        <f t="shared" ref="AD60:AE60" si="23">LOG(AD51)</f>
        <v>0.7952701612801556</v>
      </c>
      <c r="AE60">
        <f t="shared" si="23"/>
        <v>2.5594785764471513</v>
      </c>
    </row>
    <row r="61" spans="2:31">
      <c r="B61" t="s">
        <v>135</v>
      </c>
      <c r="C61">
        <f t="shared" ref="C61:M61" si="24">LOG(C52)</f>
        <v>2.5928977623038456</v>
      </c>
      <c r="D61">
        <f t="shared" si="24"/>
        <v>1.1141160303168065</v>
      </c>
      <c r="F61">
        <f t="shared" si="24"/>
        <v>1.2656831184776534</v>
      </c>
      <c r="G61">
        <f t="shared" si="24"/>
        <v>0.40110484071157149</v>
      </c>
      <c r="H61">
        <f t="shared" si="24"/>
        <v>1.5112693599817528</v>
      </c>
      <c r="I61">
        <f t="shared" si="24"/>
        <v>2.7744138681199808</v>
      </c>
      <c r="J61">
        <f t="shared" si="24"/>
        <v>0.99666702612924907</v>
      </c>
      <c r="K61">
        <f t="shared" si="24"/>
        <v>0.58130394235834459</v>
      </c>
      <c r="L61">
        <f t="shared" si="24"/>
        <v>-2.4687088498081131E-2</v>
      </c>
      <c r="M61">
        <f t="shared" si="24"/>
        <v>0.24838877324220041</v>
      </c>
      <c r="N61">
        <f t="shared" ref="N61:O61" si="25">LOG(N52)</f>
        <v>-0.14965974310391064</v>
      </c>
      <c r="O61">
        <f t="shared" si="25"/>
        <v>1.8759523411921653</v>
      </c>
      <c r="P61">
        <f t="shared" ref="P61:Q61" si="26">LOG(P52)</f>
        <v>0.325135695250658</v>
      </c>
      <c r="Q61">
        <f t="shared" si="26"/>
        <v>1.0023586076265973</v>
      </c>
      <c r="R61">
        <f t="shared" ref="R61:S61" si="27">LOG(R52)</f>
        <v>-0.10426793233901892</v>
      </c>
      <c r="S61">
        <f t="shared" si="27"/>
        <v>2.5262161428675864</v>
      </c>
      <c r="T61">
        <f t="shared" ref="T61:U61" si="28">LOG(T52)</f>
        <v>-9.8948710239439713E-2</v>
      </c>
      <c r="U61">
        <f t="shared" si="28"/>
        <v>0.8142866427759069</v>
      </c>
      <c r="V61">
        <f t="shared" ref="V61:W61" si="29">LOG(V52)</f>
        <v>0.18055875423925491</v>
      </c>
      <c r="W61">
        <f t="shared" si="29"/>
        <v>3.0031128270912268</v>
      </c>
      <c r="X61">
        <f t="shared" ref="X61:Y61" si="30">LOG(X52)</f>
        <v>0.59144212340559044</v>
      </c>
      <c r="Y61">
        <f t="shared" si="30"/>
        <v>0.98950885163818225</v>
      </c>
      <c r="Z61">
        <f t="shared" ref="Z61:AA61" si="31">LOG(Z52)</f>
        <v>0.2677756866587242</v>
      </c>
      <c r="AA61">
        <f t="shared" si="31"/>
        <v>0.87796782102889981</v>
      </c>
      <c r="AB61">
        <f t="shared" ref="AB61:AC61" si="32">LOG(AB52)</f>
        <v>7.7510536304585612E-2</v>
      </c>
      <c r="AC61">
        <f t="shared" si="32"/>
        <v>1.2169114190010766</v>
      </c>
      <c r="AD61">
        <f t="shared" ref="AD61:AE61" si="33">LOG(AD52)</f>
        <v>0.70078546091322225</v>
      </c>
      <c r="AE61">
        <f t="shared" si="33"/>
        <v>2.5681985851438536</v>
      </c>
    </row>
    <row r="62" spans="2:31">
      <c r="B62" t="s">
        <v>136</v>
      </c>
      <c r="C62">
        <f>LOG(C53)</f>
        <v>1.9317881149368861</v>
      </c>
      <c r="D62">
        <f t="shared" ref="D62:M62" si="34">LOG(D53)</f>
        <v>0.42401040946100355</v>
      </c>
      <c r="F62">
        <f t="shared" si="34"/>
        <v>0.60457347111069371</v>
      </c>
      <c r="G62">
        <f t="shared" si="34"/>
        <v>-0.28900078014423153</v>
      </c>
      <c r="H62">
        <f t="shared" si="34"/>
        <v>0.83040544197295652</v>
      </c>
      <c r="I62">
        <f t="shared" si="34"/>
        <v>2.0935499501111843</v>
      </c>
      <c r="J62">
        <f t="shared" si="34"/>
        <v>0.3158031081204527</v>
      </c>
      <c r="K62">
        <f t="shared" si="34"/>
        <v>-0.10880167849745838</v>
      </c>
      <c r="L62">
        <f t="shared" si="34"/>
        <v>-0.70555100650687752</v>
      </c>
      <c r="M62">
        <f t="shared" si="34"/>
        <v>-0.44171684761360258</v>
      </c>
      <c r="N62">
        <f t="shared" ref="N62:O62" si="35">LOG(N53)</f>
        <v>-0.83052366111270703</v>
      </c>
      <c r="O62">
        <f t="shared" si="35"/>
        <v>1.1858467203363623</v>
      </c>
      <c r="P62">
        <f t="shared" ref="P62:Q62" si="36">LOG(P53)</f>
        <v>-0.35572822275813842</v>
      </c>
      <c r="Q62">
        <f t="shared" si="36"/>
        <v>0.31225298677079427</v>
      </c>
      <c r="R62">
        <f t="shared" ref="R62:S62" si="37">LOG(R53)</f>
        <v>-0.78513185034781541</v>
      </c>
      <c r="S62">
        <f t="shared" si="37"/>
        <v>1.8361105220117835</v>
      </c>
      <c r="T62">
        <f t="shared" ref="T62:U62" si="38">LOG(T53)</f>
        <v>-0.77981262824823616</v>
      </c>
      <c r="U62">
        <f t="shared" si="38"/>
        <v>0.12418102192010397</v>
      </c>
      <c r="V62">
        <f t="shared" ref="V62:W62" si="39">LOG(V53)</f>
        <v>-0.50030516376954148</v>
      </c>
      <c r="W62">
        <f t="shared" si="39"/>
        <v>2.3130072062354241</v>
      </c>
      <c r="X62">
        <f t="shared" ref="X62:Y62" si="40">LOG(X53)</f>
        <v>-8.9421794603205984E-2</v>
      </c>
      <c r="Y62">
        <f t="shared" si="40"/>
        <v>0.29940323078237924</v>
      </c>
      <c r="Z62">
        <f t="shared" ref="Z62:AA62" si="41">LOG(Z53)</f>
        <v>-0.41308823135007222</v>
      </c>
      <c r="AA62">
        <f t="shared" si="41"/>
        <v>0.18786220017309682</v>
      </c>
      <c r="AB62">
        <f t="shared" ref="AB62:AC62" si="42">LOG(AB53)</f>
        <v>-0.60335338170421082</v>
      </c>
      <c r="AC62">
        <f t="shared" si="42"/>
        <v>0.52680579814527373</v>
      </c>
      <c r="AD62">
        <f t="shared" ref="AD62:AE62" si="43">LOG(AD53)</f>
        <v>1.9921542904425892E-2</v>
      </c>
      <c r="AE62">
        <f t="shared" si="43"/>
        <v>1.8780929642880504</v>
      </c>
    </row>
    <row r="63" spans="2:31">
      <c r="C63" t="s">
        <v>921</v>
      </c>
      <c r="D63" t="s">
        <v>922</v>
      </c>
      <c r="F63" t="s">
        <v>921</v>
      </c>
      <c r="G63" t="s">
        <v>922</v>
      </c>
      <c r="H63" t="s">
        <v>921</v>
      </c>
      <c r="I63" t="s">
        <v>922</v>
      </c>
      <c r="J63" t="s">
        <v>921</v>
      </c>
      <c r="K63" t="s">
        <v>922</v>
      </c>
      <c r="L63" t="s">
        <v>921</v>
      </c>
      <c r="M63" t="s">
        <v>922</v>
      </c>
      <c r="N63" t="s">
        <v>921</v>
      </c>
      <c r="O63" t="s">
        <v>922</v>
      </c>
      <c r="P63" t="s">
        <v>921</v>
      </c>
      <c r="Q63" t="s">
        <v>922</v>
      </c>
      <c r="R63" t="s">
        <v>921</v>
      </c>
      <c r="S63" t="s">
        <v>922</v>
      </c>
      <c r="T63" t="s">
        <v>921</v>
      </c>
      <c r="U63" t="s">
        <v>922</v>
      </c>
      <c r="V63" t="s">
        <v>921</v>
      </c>
      <c r="W63" t="s">
        <v>922</v>
      </c>
      <c r="X63" t="s">
        <v>921</v>
      </c>
      <c r="Y63" t="s">
        <v>922</v>
      </c>
      <c r="Z63" t="s">
        <v>921</v>
      </c>
      <c r="AA63" t="s">
        <v>922</v>
      </c>
      <c r="AB63" t="s">
        <v>921</v>
      </c>
      <c r="AC63" t="s">
        <v>922</v>
      </c>
      <c r="AD63" t="s">
        <v>921</v>
      </c>
      <c r="AE63" t="s">
        <v>922</v>
      </c>
    </row>
    <row r="64" spans="2:31">
      <c r="B64" t="s">
        <v>257</v>
      </c>
      <c r="C64">
        <f t="shared" ref="C64:M64" si="44">LOG(C55)</f>
        <v>2.3170524008370594</v>
      </c>
      <c r="D64">
        <f t="shared" si="44"/>
        <v>2.8682357807627361</v>
      </c>
      <c r="F64">
        <f t="shared" si="44"/>
        <v>1.1399406657035636</v>
      </c>
      <c r="G64">
        <f t="shared" si="44"/>
        <v>1.5604414148173238</v>
      </c>
      <c r="H64">
        <f t="shared" si="44"/>
        <v>2.8857509005435786</v>
      </c>
      <c r="I64">
        <f t="shared" si="44"/>
        <v>1.9016901673143403</v>
      </c>
      <c r="J64">
        <f t="shared" si="44"/>
        <v>1.0806894028628722</v>
      </c>
      <c r="K64">
        <f t="shared" si="44"/>
        <v>1.4428287076501247</v>
      </c>
      <c r="L64">
        <f t="shared" si="44"/>
        <v>0.53518964634874966</v>
      </c>
      <c r="M64">
        <f t="shared" si="44"/>
        <v>0.51150190697832965</v>
      </c>
      <c r="N64">
        <f t="shared" ref="N64:O64" si="45">LOG(N55)</f>
        <v>1.9818789146127167</v>
      </c>
      <c r="O64">
        <f t="shared" si="45"/>
        <v>0.36740456704711877</v>
      </c>
      <c r="P64">
        <f t="shared" ref="P64:Q64" si="46">LOG(P55)</f>
        <v>0.81749358786289728</v>
      </c>
      <c r="Q64">
        <f t="shared" si="46"/>
        <v>0.58719289640912586</v>
      </c>
      <c r="R64">
        <f t="shared" ref="R64:S64" si="47">LOG(R55)</f>
        <v>2.5830062982950146</v>
      </c>
      <c r="S64">
        <f t="shared" si="47"/>
        <v>0.31795285362773057</v>
      </c>
      <c r="T64">
        <f t="shared" ref="T64:U64" si="48">LOG(T55)</f>
        <v>0.86040169294217883</v>
      </c>
      <c r="U64">
        <f t="shared" si="48"/>
        <v>0.33033349434687009</v>
      </c>
      <c r="V64">
        <f t="shared" ref="V64:W64" si="49">LOG(V55)</f>
        <v>3.1098070623171816</v>
      </c>
      <c r="W64">
        <f t="shared" si="49"/>
        <v>0.6111101813866795</v>
      </c>
      <c r="X64">
        <f t="shared" ref="X64:Y64" si="50">LOG(X55)</f>
        <v>0.89396427440539639</v>
      </c>
      <c r="Y64">
        <f t="shared" si="50"/>
        <v>0.83619811072538919</v>
      </c>
      <c r="Z64">
        <f t="shared" ref="Z64:AA64" si="51">LOG(Z55)</f>
        <v>0.81438390648096115</v>
      </c>
      <c r="AA64">
        <f t="shared" si="51"/>
        <v>0.42576506441680328</v>
      </c>
      <c r="AB64">
        <f t="shared" ref="AB64:AC64" si="52">LOG(AB55)</f>
        <v>1.0768472409403809</v>
      </c>
      <c r="AC64">
        <f t="shared" si="52"/>
        <v>0.3985371774958249</v>
      </c>
      <c r="AD64">
        <f t="shared" ref="AD64:AE64" si="53">LOG(AD55)</f>
        <v>2.4109580427585167</v>
      </c>
      <c r="AE64">
        <f t="shared" si="53"/>
        <v>0.85028514061353322</v>
      </c>
    </row>
    <row r="65" spans="2:31">
      <c r="B65" t="s">
        <v>135</v>
      </c>
      <c r="C65">
        <f t="shared" ref="C65:M65" si="54">LOG(C56)</f>
        <v>2.5265583483542136</v>
      </c>
      <c r="D65">
        <f t="shared" si="54"/>
        <v>2.6893607950526195</v>
      </c>
      <c r="F65">
        <f t="shared" si="54"/>
        <v>1.3103495977315085</v>
      </c>
      <c r="G65">
        <f t="shared" si="54"/>
        <v>1.1436666576311838</v>
      </c>
      <c r="H65">
        <f t="shared" si="54"/>
        <v>2.8360565820183607</v>
      </c>
      <c r="I65">
        <f t="shared" si="54"/>
        <v>1.4372010157468156</v>
      </c>
      <c r="J65">
        <f t="shared" si="54"/>
        <v>1.097422719075448</v>
      </c>
      <c r="K65">
        <f t="shared" si="54"/>
        <v>0.8032644085403865</v>
      </c>
      <c r="L65">
        <f t="shared" si="54"/>
        <v>0.19223386822908464</v>
      </c>
      <c r="M65">
        <f t="shared" si="54"/>
        <v>-3.8060577510137285E-3</v>
      </c>
      <c r="N65">
        <f t="shared" ref="N65:O65" si="55">LOG(N56)</f>
        <v>1.9472176070803211</v>
      </c>
      <c r="O65">
        <f t="shared" si="55"/>
        <v>-0.14891229501498995</v>
      </c>
      <c r="P65">
        <f t="shared" ref="P65:Q65" si="56">LOG(P56)</f>
        <v>0.94318640085947369</v>
      </c>
      <c r="Q65">
        <f t="shared" si="56"/>
        <v>0.44111670183277613</v>
      </c>
      <c r="R65">
        <f t="shared" ref="R65:S65" si="57">LOG(R56)</f>
        <v>2.5798247317372209</v>
      </c>
      <c r="S65">
        <f t="shared" si="57"/>
        <v>-0.22744852441836774</v>
      </c>
      <c r="T65">
        <f t="shared" ref="T65:U65" si="58">LOG(T56)</f>
        <v>0.80542802077392028</v>
      </c>
      <c r="U65">
        <f t="shared" si="58"/>
        <v>-0.10195349261928364</v>
      </c>
      <c r="V65">
        <f t="shared" ref="V65:W65" si="59">LOG(V56)</f>
        <v>3.0787996211833435</v>
      </c>
      <c r="W65">
        <f t="shared" si="59"/>
        <v>0.1886988160709332</v>
      </c>
      <c r="X65">
        <f t="shared" ref="X65:Y65" si="60">LOG(X56)</f>
        <v>0.92627431418622741</v>
      </c>
      <c r="Y65">
        <f t="shared" si="60"/>
        <v>0.68436905585370522</v>
      </c>
      <c r="Z65">
        <f t="shared" ref="Z65:AA65" si="61">LOG(Z56)</f>
        <v>0.82108669052295713</v>
      </c>
      <c r="AA65">
        <f t="shared" si="61"/>
        <v>0.2634616892040561</v>
      </c>
      <c r="AB65">
        <f t="shared" ref="AB65:AC65" si="62">LOG(AB56)</f>
        <v>1.1800421060293704</v>
      </c>
      <c r="AC65">
        <f t="shared" si="62"/>
        <v>0.14846846364998034</v>
      </c>
      <c r="AD65">
        <f t="shared" ref="AD65:AE65" si="63">LOG(AD56)</f>
        <v>2.5444185065524314</v>
      </c>
      <c r="AE65">
        <f t="shared" si="63"/>
        <v>0.78972979987803738</v>
      </c>
    </row>
    <row r="66" spans="2:31">
      <c r="B66" t="s">
        <v>136</v>
      </c>
      <c r="C66">
        <f t="shared" ref="C66:M66" si="64">LOG(C57)</f>
        <v>1.7608188898330859</v>
      </c>
      <c r="D66">
        <f t="shared" si="64"/>
        <v>2.1686644524735068</v>
      </c>
      <c r="F66">
        <f t="shared" si="64"/>
        <v>0.54461013921038093</v>
      </c>
      <c r="G66">
        <f t="shared" si="64"/>
        <v>0.62297031505207123</v>
      </c>
      <c r="H66">
        <f t="shared" si="64"/>
        <v>2.0703171234972331</v>
      </c>
      <c r="I66">
        <f t="shared" si="64"/>
        <v>0.91650467316770301</v>
      </c>
      <c r="J66">
        <f t="shared" si="64"/>
        <v>0.3316832605543204</v>
      </c>
      <c r="K66">
        <f t="shared" si="64"/>
        <v>0.28256806596127404</v>
      </c>
      <c r="L66">
        <f t="shared" si="64"/>
        <v>-0.57350559029204295</v>
      </c>
      <c r="M66">
        <f t="shared" si="64"/>
        <v>-0.52450240033012629</v>
      </c>
      <c r="N66">
        <f t="shared" ref="N66:O66" si="65">LOG(N57)</f>
        <v>1.1814781485591936</v>
      </c>
      <c r="O66">
        <f t="shared" si="65"/>
        <v>-0.6696086375941025</v>
      </c>
      <c r="P66">
        <f t="shared" ref="P66:Q66" si="66">LOG(P57)</f>
        <v>0.17744694233834613</v>
      </c>
      <c r="Q66">
        <f t="shared" si="66"/>
        <v>-7.9579640746336389E-2</v>
      </c>
      <c r="R66">
        <f t="shared" ref="R66:S66" si="67">LOG(R57)</f>
        <v>1.8140852732160935</v>
      </c>
      <c r="S66">
        <f t="shared" si="67"/>
        <v>-0.74814486699748028</v>
      </c>
      <c r="T66">
        <f t="shared" ref="T66:U66" si="68">LOG(T57)</f>
        <v>3.9688562252792776E-2</v>
      </c>
      <c r="U66">
        <f t="shared" si="68"/>
        <v>-0.62264983519839612</v>
      </c>
      <c r="V66">
        <f t="shared" ref="V66:W66" si="69">LOG(V57)</f>
        <v>2.3130601626622158</v>
      </c>
      <c r="W66">
        <f t="shared" si="69"/>
        <v>-0.33199752650817932</v>
      </c>
      <c r="X66">
        <f t="shared" ref="X66:Y66" si="70">LOG(X57)</f>
        <v>0.16053485566509987</v>
      </c>
      <c r="Y66">
        <f t="shared" si="70"/>
        <v>0.16367271327459265</v>
      </c>
      <c r="Z66">
        <f t="shared" ref="Z66:AA66" si="71">LOG(Z57)</f>
        <v>5.5347232001829484E-2</v>
      </c>
      <c r="AA66">
        <f t="shared" si="71"/>
        <v>-0.25723465337505647</v>
      </c>
      <c r="AB66">
        <f t="shared" ref="AB66:AC66" si="72">LOG(AB57)</f>
        <v>0.41430264750824286</v>
      </c>
      <c r="AC66">
        <f t="shared" si="72"/>
        <v>-0.37222787892913217</v>
      </c>
      <c r="AD66">
        <f t="shared" ref="AD66:AE66" si="73">LOG(AD57)</f>
        <v>1.7786790480313039</v>
      </c>
      <c r="AE66">
        <f t="shared" si="73"/>
        <v>0.26903345729892492</v>
      </c>
    </row>
    <row r="67" spans="2:31">
      <c r="M67">
        <v>3.43</v>
      </c>
    </row>
    <row r="68" spans="2:31">
      <c r="C68" t="s">
        <v>972</v>
      </c>
      <c r="I68" t="s">
        <v>957</v>
      </c>
      <c r="K68" t="s">
        <v>958</v>
      </c>
      <c r="AB68">
        <f>AB55/AC55</f>
        <v>4.7677125495318116</v>
      </c>
    </row>
    <row r="69" spans="2:31">
      <c r="I69" t="s">
        <v>948</v>
      </c>
    </row>
    <row r="70" spans="2:31">
      <c r="C70" t="s">
        <v>934</v>
      </c>
      <c r="E70" t="s">
        <v>935</v>
      </c>
      <c r="F70" t="s">
        <v>937</v>
      </c>
      <c r="H70" t="s">
        <v>947</v>
      </c>
      <c r="I70" s="31" t="s">
        <v>919</v>
      </c>
      <c r="J70" s="31" t="s">
        <v>920</v>
      </c>
      <c r="K70" s="31" t="s">
        <v>919</v>
      </c>
      <c r="L70" s="31" t="s">
        <v>920</v>
      </c>
      <c r="M70" t="s">
        <v>959</v>
      </c>
      <c r="N70" t="s">
        <v>961</v>
      </c>
      <c r="O70" t="s">
        <v>962</v>
      </c>
      <c r="P70" t="s">
        <v>963</v>
      </c>
    </row>
    <row r="71" spans="2:31">
      <c r="C71" s="31" t="s">
        <v>924</v>
      </c>
      <c r="E71" s="31" t="s">
        <v>759</v>
      </c>
      <c r="F71" s="31" t="s">
        <v>779</v>
      </c>
      <c r="G71" s="31" t="s">
        <v>797</v>
      </c>
      <c r="H71" t="s">
        <v>949</v>
      </c>
      <c r="I71">
        <v>0.8</v>
      </c>
      <c r="J71">
        <v>2.56</v>
      </c>
      <c r="K71">
        <v>0.02</v>
      </c>
      <c r="L71">
        <v>1.88</v>
      </c>
      <c r="M71" t="s">
        <v>960</v>
      </c>
      <c r="N71">
        <v>4.63</v>
      </c>
      <c r="O71" t="s">
        <v>966</v>
      </c>
      <c r="P71" t="s">
        <v>964</v>
      </c>
      <c r="Z71" t="s">
        <v>969</v>
      </c>
    </row>
    <row r="72" spans="2:31">
      <c r="C72" s="31" t="s">
        <v>918</v>
      </c>
      <c r="E72" s="31" t="s">
        <v>926</v>
      </c>
      <c r="F72" s="31" t="s">
        <v>770</v>
      </c>
      <c r="H72" t="s">
        <v>717</v>
      </c>
      <c r="I72">
        <v>0.37</v>
      </c>
      <c r="J72">
        <v>1.2</v>
      </c>
      <c r="K72">
        <v>0.08</v>
      </c>
      <c r="L72">
        <v>0.53</v>
      </c>
      <c r="M72" t="s">
        <v>960</v>
      </c>
      <c r="N72">
        <v>1.88</v>
      </c>
      <c r="O72">
        <v>0.06</v>
      </c>
      <c r="P72" t="s">
        <v>965</v>
      </c>
    </row>
    <row r="73" spans="2:31">
      <c r="C73" s="31" t="s">
        <v>763</v>
      </c>
      <c r="F73" s="31" t="s">
        <v>928</v>
      </c>
      <c r="H73" s="45" t="s">
        <v>950</v>
      </c>
      <c r="I73" s="45">
        <v>0.5</v>
      </c>
      <c r="J73" s="45">
        <v>0.88</v>
      </c>
      <c r="K73" s="45">
        <v>0.27</v>
      </c>
      <c r="L73" s="45">
        <v>0.19</v>
      </c>
      <c r="M73" s="45" t="s">
        <v>960</v>
      </c>
      <c r="N73" s="45">
        <v>4.87</v>
      </c>
      <c r="O73" s="45" t="s">
        <v>966</v>
      </c>
      <c r="P73" s="45" t="s">
        <v>964</v>
      </c>
    </row>
    <row r="74" spans="2:31">
      <c r="E74" s="31" t="s">
        <v>936</v>
      </c>
      <c r="F74" s="31" t="s">
        <v>786</v>
      </c>
      <c r="H74" s="45" t="s">
        <v>951</v>
      </c>
      <c r="I74" s="45">
        <v>0.52</v>
      </c>
      <c r="J74" s="45">
        <v>0.91</v>
      </c>
      <c r="K74" s="45">
        <v>0.33</v>
      </c>
      <c r="L74" s="45">
        <v>0.31</v>
      </c>
      <c r="M74" s="45" t="s">
        <v>960</v>
      </c>
      <c r="N74" s="45">
        <v>1.87</v>
      </c>
      <c r="O74" s="45">
        <v>0.115</v>
      </c>
      <c r="P74" s="45" t="s">
        <v>965</v>
      </c>
    </row>
    <row r="75" spans="2:31">
      <c r="F75" s="31" t="s">
        <v>933</v>
      </c>
      <c r="H75" s="45" t="s">
        <v>952</v>
      </c>
      <c r="I75" s="45">
        <v>0.79</v>
      </c>
      <c r="J75" s="45">
        <v>0.95</v>
      </c>
      <c r="K75" s="45">
        <v>0.09</v>
      </c>
      <c r="L75" s="45">
        <v>0.3</v>
      </c>
      <c r="M75" s="45" t="s">
        <v>968</v>
      </c>
      <c r="N75" s="45">
        <v>0.76300000000000001</v>
      </c>
      <c r="O75" s="45">
        <v>0.45</v>
      </c>
      <c r="P75" s="45" t="s">
        <v>965</v>
      </c>
      <c r="Z75" t="s">
        <v>970</v>
      </c>
    </row>
    <row r="76" spans="2:31">
      <c r="E76" s="31" t="s">
        <v>931</v>
      </c>
      <c r="F76" s="31" t="s">
        <v>932</v>
      </c>
      <c r="H76" s="45" t="s">
        <v>953</v>
      </c>
      <c r="I76" s="45">
        <v>2.85</v>
      </c>
      <c r="J76" s="45">
        <v>1.1299999999999999</v>
      </c>
      <c r="K76" s="45">
        <v>1.93</v>
      </c>
      <c r="L76" s="45">
        <v>0.42</v>
      </c>
      <c r="M76" s="45" t="s">
        <v>960</v>
      </c>
      <c r="N76" s="45">
        <v>5.72</v>
      </c>
      <c r="O76" s="45" t="s">
        <v>966</v>
      </c>
      <c r="P76" s="45" t="s">
        <v>967</v>
      </c>
      <c r="Z76" t="s">
        <v>971</v>
      </c>
    </row>
    <row r="77" spans="2:31">
      <c r="H77" s="45" t="s">
        <v>954</v>
      </c>
      <c r="I77" s="45">
        <v>0.53</v>
      </c>
      <c r="J77" s="45">
        <v>0.53</v>
      </c>
      <c r="K77" s="45">
        <v>0.02</v>
      </c>
      <c r="L77" s="45">
        <v>0.25</v>
      </c>
      <c r="M77" s="45" t="s">
        <v>960</v>
      </c>
      <c r="N77" s="45">
        <v>0.33</v>
      </c>
      <c r="O77" s="45">
        <v>0.74199999999999999</v>
      </c>
      <c r="P77" s="45" t="s">
        <v>965</v>
      </c>
    </row>
    <row r="78" spans="2:31">
      <c r="C78" t="s">
        <v>938</v>
      </c>
      <c r="E78" t="s">
        <v>939</v>
      </c>
      <c r="F78" t="s">
        <v>940</v>
      </c>
      <c r="H78" t="s">
        <v>942</v>
      </c>
      <c r="I78">
        <v>0.33</v>
      </c>
      <c r="J78">
        <v>2.14</v>
      </c>
      <c r="K78">
        <v>0.15</v>
      </c>
      <c r="L78">
        <v>1.9</v>
      </c>
      <c r="M78" t="s">
        <v>960</v>
      </c>
      <c r="N78">
        <v>5.66</v>
      </c>
      <c r="O78" t="s">
        <v>966</v>
      </c>
      <c r="P78" t="s">
        <v>964</v>
      </c>
    </row>
    <row r="79" spans="2:31">
      <c r="C79" s="31" t="s">
        <v>941</v>
      </c>
      <c r="E79" t="s">
        <v>918</v>
      </c>
      <c r="F79" s="31" t="s">
        <v>690</v>
      </c>
      <c r="H79" s="45" t="s">
        <v>955</v>
      </c>
      <c r="I79" s="45">
        <v>1.43</v>
      </c>
      <c r="J79" s="45">
        <v>0.72</v>
      </c>
      <c r="K79" s="45">
        <v>0.32</v>
      </c>
      <c r="L79" s="45">
        <v>0.11</v>
      </c>
      <c r="M79" s="45" t="s">
        <v>960</v>
      </c>
      <c r="N79" s="45">
        <v>5.65</v>
      </c>
      <c r="O79" s="45" t="s">
        <v>966</v>
      </c>
      <c r="P79" s="45" t="s">
        <v>967</v>
      </c>
    </row>
    <row r="80" spans="2:31">
      <c r="C80" s="31" t="s">
        <v>942</v>
      </c>
      <c r="E80" s="31" t="s">
        <v>943</v>
      </c>
      <c r="F80" s="31" t="s">
        <v>763</v>
      </c>
      <c r="G80">
        <f>110.2/0.235</f>
        <v>468.936170212766</v>
      </c>
      <c r="H80" s="45" t="s">
        <v>941</v>
      </c>
      <c r="I80" s="45">
        <v>1.84</v>
      </c>
      <c r="J80" s="45">
        <v>3.03</v>
      </c>
      <c r="K80" s="45">
        <v>0.83</v>
      </c>
      <c r="L80" s="45">
        <v>2.1</v>
      </c>
      <c r="M80" s="45" t="s">
        <v>960</v>
      </c>
      <c r="N80" s="45">
        <v>5.73</v>
      </c>
      <c r="O80" s="45" t="s">
        <v>966</v>
      </c>
      <c r="P80" s="45" t="s">
        <v>964</v>
      </c>
    </row>
    <row r="81" spans="3:18">
      <c r="C81" s="31" t="s">
        <v>797</v>
      </c>
      <c r="E81" s="31" t="s">
        <v>759</v>
      </c>
      <c r="H81" s="45" t="s">
        <v>944</v>
      </c>
      <c r="I81" s="45">
        <v>0.55000000000000004</v>
      </c>
      <c r="J81" s="45">
        <v>3.27</v>
      </c>
      <c r="K81" s="45">
        <v>0.18</v>
      </c>
      <c r="L81" s="45">
        <v>2.2999999999999998</v>
      </c>
      <c r="M81" s="45" t="s">
        <v>960</v>
      </c>
      <c r="N81" s="45">
        <v>5.66</v>
      </c>
      <c r="O81" s="45" t="s">
        <v>966</v>
      </c>
      <c r="P81" s="45" t="s">
        <v>964</v>
      </c>
      <c r="R81" t="s">
        <v>927</v>
      </c>
    </row>
    <row r="82" spans="3:18">
      <c r="C82" s="31" t="s">
        <v>944</v>
      </c>
      <c r="E82" s="31" t="s">
        <v>926</v>
      </c>
      <c r="H82" t="s">
        <v>943</v>
      </c>
      <c r="I82">
        <v>0.33</v>
      </c>
      <c r="J82">
        <v>2.74</v>
      </c>
      <c r="K82">
        <v>0.1</v>
      </c>
      <c r="L82">
        <v>1.84</v>
      </c>
      <c r="M82" t="s">
        <v>960</v>
      </c>
      <c r="N82">
        <v>3.96</v>
      </c>
      <c r="O82" t="s">
        <v>966</v>
      </c>
      <c r="P82" t="s">
        <v>964</v>
      </c>
    </row>
    <row r="83" spans="3:18">
      <c r="C83" s="31" t="s">
        <v>946</v>
      </c>
      <c r="H83" s="45" t="s">
        <v>956</v>
      </c>
      <c r="I83" s="45">
        <v>0.34</v>
      </c>
      <c r="J83" s="45">
        <v>0.98</v>
      </c>
      <c r="K83" s="45">
        <v>0.1</v>
      </c>
      <c r="L83" s="45">
        <v>0.12</v>
      </c>
      <c r="M83" s="45" t="s">
        <v>960</v>
      </c>
      <c r="N83" s="45">
        <v>3.82</v>
      </c>
      <c r="O83" s="45" t="s">
        <v>966</v>
      </c>
      <c r="P83" s="45" t="s">
        <v>964</v>
      </c>
    </row>
    <row r="84" spans="3:18">
      <c r="C84" s="31" t="s">
        <v>945</v>
      </c>
      <c r="E84" s="31" t="s">
        <v>936</v>
      </c>
      <c r="H84" t="s">
        <v>953</v>
      </c>
      <c r="I84">
        <v>1.57</v>
      </c>
      <c r="J84">
        <v>0.53</v>
      </c>
      <c r="K84">
        <v>0.6</v>
      </c>
      <c r="L84">
        <v>0.3</v>
      </c>
      <c r="M84" t="s">
        <v>960</v>
      </c>
      <c r="N84">
        <v>4.12</v>
      </c>
      <c r="O84" t="s">
        <v>966</v>
      </c>
      <c r="P84" t="s">
        <v>967</v>
      </c>
    </row>
    <row r="85" spans="3:18">
      <c r="C85" s="31" t="s">
        <v>932</v>
      </c>
      <c r="H85" s="31" t="s">
        <v>947</v>
      </c>
      <c r="I85" s="31" t="s">
        <v>921</v>
      </c>
      <c r="J85" s="31" t="s">
        <v>922</v>
      </c>
      <c r="K85" s="31" t="s">
        <v>921</v>
      </c>
      <c r="L85" s="31" t="s">
        <v>922</v>
      </c>
      <c r="M85" t="s">
        <v>959</v>
      </c>
      <c r="N85" t="s">
        <v>961</v>
      </c>
      <c r="O85" t="s">
        <v>962</v>
      </c>
      <c r="P85" t="s">
        <v>963</v>
      </c>
    </row>
    <row r="86" spans="3:18">
      <c r="H86" t="s">
        <v>949</v>
      </c>
      <c r="I86">
        <v>2.4</v>
      </c>
      <c r="J86">
        <v>0.85</v>
      </c>
      <c r="K86">
        <v>1.8</v>
      </c>
      <c r="L86">
        <v>0.27</v>
      </c>
      <c r="M86" t="s">
        <v>960</v>
      </c>
      <c r="N86">
        <v>2.3199999999999998</v>
      </c>
      <c r="O86">
        <v>1.9800000000000002E-2</v>
      </c>
      <c r="P86" t="s">
        <v>938</v>
      </c>
    </row>
    <row r="87" spans="3:18">
      <c r="H87" t="s">
        <v>717</v>
      </c>
      <c r="I87">
        <v>1.1000000000000001</v>
      </c>
      <c r="J87">
        <v>0.4</v>
      </c>
      <c r="K87">
        <v>0.41</v>
      </c>
      <c r="L87">
        <v>0.15</v>
      </c>
      <c r="M87" t="s">
        <v>960</v>
      </c>
      <c r="N87">
        <v>1.96</v>
      </c>
      <c r="O87">
        <v>5.0299999999999997E-2</v>
      </c>
      <c r="P87" t="s">
        <v>965</v>
      </c>
    </row>
    <row r="88" spans="3:18">
      <c r="H88" s="45" t="s">
        <v>950</v>
      </c>
      <c r="I88" s="45">
        <v>0.81</v>
      </c>
      <c r="J88" s="45">
        <v>0.43</v>
      </c>
      <c r="K88" s="45">
        <v>0.06</v>
      </c>
      <c r="L88" s="45">
        <v>0.26</v>
      </c>
      <c r="M88" s="45" t="s">
        <v>960</v>
      </c>
      <c r="N88" s="45">
        <v>2.6</v>
      </c>
      <c r="O88" s="45">
        <v>9.2999999999999992E-3</v>
      </c>
      <c r="P88" s="45" t="s">
        <v>938</v>
      </c>
    </row>
    <row r="89" spans="3:18">
      <c r="H89" t="s">
        <v>951</v>
      </c>
      <c r="I89">
        <v>0.82</v>
      </c>
      <c r="J89">
        <v>0.59</v>
      </c>
      <c r="K89">
        <v>0.18</v>
      </c>
      <c r="L89">
        <v>0.08</v>
      </c>
      <c r="M89" t="s">
        <v>960</v>
      </c>
      <c r="N89">
        <v>0.379</v>
      </c>
      <c r="O89">
        <v>0.70440000000000003</v>
      </c>
      <c r="P89" t="s">
        <v>965</v>
      </c>
    </row>
    <row r="90" spans="3:18">
      <c r="H90" s="45" t="s">
        <v>952</v>
      </c>
      <c r="I90" s="45">
        <v>0.89</v>
      </c>
      <c r="J90" s="45">
        <v>0.84</v>
      </c>
      <c r="K90" s="45">
        <v>0.16</v>
      </c>
      <c r="L90" s="45">
        <v>0.16</v>
      </c>
      <c r="M90" s="45" t="s">
        <v>968</v>
      </c>
      <c r="N90" s="45">
        <v>5.5E-2</v>
      </c>
      <c r="O90" s="45">
        <v>0.95599999999999996</v>
      </c>
      <c r="P90" s="45" t="s">
        <v>965</v>
      </c>
    </row>
    <row r="91" spans="3:18">
      <c r="H91" s="45" t="s">
        <v>953</v>
      </c>
      <c r="I91" s="45">
        <v>2.2999999999999998</v>
      </c>
      <c r="J91" s="45">
        <v>2.9</v>
      </c>
      <c r="K91" s="45">
        <v>1.8</v>
      </c>
      <c r="L91" s="45">
        <v>2.2000000000000002</v>
      </c>
      <c r="M91" s="45" t="s">
        <v>960</v>
      </c>
      <c r="N91" s="45">
        <v>3.39</v>
      </c>
      <c r="O91" s="45">
        <v>1E-3</v>
      </c>
      <c r="P91" s="45" t="s">
        <v>940</v>
      </c>
    </row>
    <row r="92" spans="3:18">
      <c r="H92" s="45" t="s">
        <v>954</v>
      </c>
      <c r="I92" s="45">
        <v>0.54</v>
      </c>
      <c r="J92" s="45">
        <v>0.51</v>
      </c>
      <c r="K92" s="45">
        <v>0.19</v>
      </c>
      <c r="L92" s="45">
        <v>4.0000000000000001E-3</v>
      </c>
      <c r="M92" s="45" t="s">
        <v>960</v>
      </c>
      <c r="N92" s="45">
        <v>0.19800000000000001</v>
      </c>
      <c r="O92" s="45">
        <v>0.84299999999999997</v>
      </c>
      <c r="P92" s="45" t="s">
        <v>965</v>
      </c>
    </row>
    <row r="93" spans="3:18">
      <c r="H93" t="s">
        <v>942</v>
      </c>
      <c r="I93">
        <v>2</v>
      </c>
      <c r="J93">
        <v>0.37</v>
      </c>
      <c r="K93">
        <v>1.2</v>
      </c>
      <c r="L93">
        <v>0.15</v>
      </c>
      <c r="M93" t="s">
        <v>960</v>
      </c>
      <c r="N93">
        <v>2.95</v>
      </c>
      <c r="O93">
        <v>3.0999999999999999E-3</v>
      </c>
      <c r="P93" t="s">
        <v>938</v>
      </c>
      <c r="R93">
        <f>57/SQRT(42)</f>
        <v>8.7952909478392378</v>
      </c>
    </row>
    <row r="94" spans="3:18">
      <c r="H94" s="45" t="s">
        <v>955</v>
      </c>
      <c r="I94" s="45">
        <v>1.1000000000000001</v>
      </c>
      <c r="J94" s="45">
        <v>1.4</v>
      </c>
      <c r="K94" s="45">
        <v>0.33</v>
      </c>
      <c r="L94" s="45">
        <v>0.28000000000000003</v>
      </c>
      <c r="M94" s="45" t="s">
        <v>960</v>
      </c>
      <c r="N94" s="45">
        <v>3.45</v>
      </c>
      <c r="O94" s="45">
        <v>5.9999999999999995E-4</v>
      </c>
      <c r="P94" s="45" t="s">
        <v>940</v>
      </c>
      <c r="R94">
        <f>34.6/SQRT(12)</f>
        <v>9.9881596569805264</v>
      </c>
    </row>
    <row r="95" spans="3:18">
      <c r="H95" s="45" t="s">
        <v>941</v>
      </c>
      <c r="I95" s="45">
        <v>2.9</v>
      </c>
      <c r="J95" s="45">
        <v>1.9</v>
      </c>
      <c r="K95" s="45">
        <v>2.1</v>
      </c>
      <c r="L95" s="45">
        <v>0.92</v>
      </c>
      <c r="M95" s="45" t="s">
        <v>960</v>
      </c>
      <c r="N95" s="45">
        <v>2.58</v>
      </c>
      <c r="O95" s="45">
        <v>0.01</v>
      </c>
      <c r="P95" s="45" t="s">
        <v>938</v>
      </c>
      <c r="R95">
        <f>28.2/SQRT(24)</f>
        <v>5.7563008955404689</v>
      </c>
    </row>
    <row r="96" spans="3:18">
      <c r="H96" s="45" t="s">
        <v>944</v>
      </c>
      <c r="I96" s="45">
        <v>3.1</v>
      </c>
      <c r="J96" s="45">
        <v>0.61</v>
      </c>
      <c r="K96" s="45">
        <v>2.2999999999999998</v>
      </c>
      <c r="L96" s="45">
        <v>0.19</v>
      </c>
      <c r="M96" s="45" t="s">
        <v>960</v>
      </c>
      <c r="N96" s="45">
        <v>2.76</v>
      </c>
      <c r="O96" s="45">
        <v>5.7000000000000002E-3</v>
      </c>
      <c r="P96" s="45" t="s">
        <v>938</v>
      </c>
      <c r="R96">
        <f>12/SQRT(54)</f>
        <v>1.6329931618554521</v>
      </c>
    </row>
    <row r="97" spans="8:29">
      <c r="H97" t="s">
        <v>943</v>
      </c>
      <c r="I97">
        <v>2.6</v>
      </c>
      <c r="J97">
        <v>0.32</v>
      </c>
      <c r="K97">
        <v>1.8</v>
      </c>
      <c r="L97">
        <v>0.23</v>
      </c>
      <c r="M97" t="s">
        <v>960</v>
      </c>
      <c r="N97">
        <v>2.2799999999999998</v>
      </c>
      <c r="O97">
        <v>2.24E-2</v>
      </c>
      <c r="P97" t="s">
        <v>938</v>
      </c>
      <c r="R97">
        <f>54.8/SQRT(50)</f>
        <v>7.7498903218045605</v>
      </c>
    </row>
    <row r="98" spans="8:29">
      <c r="H98" s="45" t="s">
        <v>956</v>
      </c>
      <c r="I98" s="45">
        <v>0.86</v>
      </c>
      <c r="J98" s="45">
        <v>0.33</v>
      </c>
      <c r="K98" s="45">
        <v>0.04</v>
      </c>
      <c r="L98" s="45">
        <v>0.1</v>
      </c>
      <c r="M98" s="45" t="s">
        <v>960</v>
      </c>
      <c r="N98" s="45">
        <v>2.3199999999999998</v>
      </c>
      <c r="O98" s="45">
        <v>2.0500000000000001E-2</v>
      </c>
      <c r="P98" s="45" t="s">
        <v>938</v>
      </c>
      <c r="R98">
        <f>0.108/SQRT(50)</f>
        <v>1.5273506473629427E-2</v>
      </c>
    </row>
    <row r="99" spans="8:29">
      <c r="H99" t="s">
        <v>953</v>
      </c>
      <c r="I99">
        <v>1.1000000000000001</v>
      </c>
      <c r="J99">
        <v>1.6</v>
      </c>
      <c r="K99">
        <v>0.54</v>
      </c>
      <c r="L99">
        <v>0.62</v>
      </c>
      <c r="M99" t="s">
        <v>960</v>
      </c>
      <c r="N99">
        <v>2.46</v>
      </c>
      <c r="O99">
        <v>1.4E-2</v>
      </c>
      <c r="P99" t="s">
        <v>940</v>
      </c>
    </row>
    <row r="101" spans="8:29" ht="14" thickBot="1"/>
    <row r="102" spans="8:29" ht="16" thickBot="1">
      <c r="P102" s="69" t="s">
        <v>978</v>
      </c>
      <c r="Q102" s="70" t="s">
        <v>949</v>
      </c>
      <c r="R102" s="70" t="s">
        <v>950</v>
      </c>
      <c r="S102" s="70" t="s">
        <v>717</v>
      </c>
      <c r="T102" s="70" t="s">
        <v>952</v>
      </c>
      <c r="U102" s="70" t="s">
        <v>951</v>
      </c>
      <c r="V102" s="70" t="s">
        <v>979</v>
      </c>
      <c r="W102" s="70" t="s">
        <v>954</v>
      </c>
      <c r="X102" s="70" t="s">
        <v>942</v>
      </c>
      <c r="Y102" s="70" t="s">
        <v>980</v>
      </c>
      <c r="Z102" s="70" t="s">
        <v>941</v>
      </c>
      <c r="AA102" s="70" t="s">
        <v>944</v>
      </c>
      <c r="AB102" s="70" t="s">
        <v>943</v>
      </c>
      <c r="AC102" s="70" t="s">
        <v>956</v>
      </c>
    </row>
    <row r="103" spans="8:29" ht="16" thickBot="1">
      <c r="O103" s="64" t="s">
        <v>973</v>
      </c>
      <c r="P103" s="65">
        <v>318</v>
      </c>
      <c r="Q103" s="65">
        <v>55.8</v>
      </c>
      <c r="R103" s="65">
        <v>3.14</v>
      </c>
      <c r="S103" s="73">
        <v>12.2</v>
      </c>
      <c r="T103" s="65">
        <v>0.34</v>
      </c>
      <c r="U103" s="65">
        <v>116</v>
      </c>
      <c r="V103" s="65">
        <v>47</v>
      </c>
      <c r="W103" s="65">
        <v>112</v>
      </c>
      <c r="X103" s="65">
        <v>865</v>
      </c>
      <c r="Y103" s="65">
        <v>128</v>
      </c>
      <c r="Z103" s="65">
        <v>584</v>
      </c>
      <c r="AA103" s="65">
        <v>491</v>
      </c>
      <c r="AB103" s="65">
        <v>585</v>
      </c>
      <c r="AC103" s="65">
        <v>527</v>
      </c>
    </row>
    <row r="104" spans="8:29" ht="16" thickBot="1">
      <c r="O104" s="66" t="s">
        <v>974</v>
      </c>
      <c r="P104" s="67">
        <v>2069</v>
      </c>
      <c r="Q104" s="67">
        <v>228</v>
      </c>
      <c r="R104" s="67">
        <v>11.3</v>
      </c>
      <c r="S104" s="73">
        <v>43.2</v>
      </c>
      <c r="T104" s="67">
        <v>1.3</v>
      </c>
      <c r="U104" s="67">
        <v>218</v>
      </c>
      <c r="V104" s="67">
        <v>150</v>
      </c>
      <c r="W104" s="67">
        <v>251</v>
      </c>
      <c r="X104" s="67">
        <v>3703</v>
      </c>
      <c r="Y104" s="67">
        <v>369</v>
      </c>
      <c r="Z104" s="67">
        <v>2810</v>
      </c>
      <c r="AA104" s="67">
        <v>2130</v>
      </c>
      <c r="AB104" s="67">
        <v>3820</v>
      </c>
      <c r="AC104" s="67">
        <v>2390</v>
      </c>
    </row>
    <row r="105" spans="8:29" ht="16" thickBot="1">
      <c r="O105" s="66" t="s">
        <v>975</v>
      </c>
      <c r="P105" s="67">
        <v>2.4</v>
      </c>
      <c r="Q105" s="67">
        <v>0.89</v>
      </c>
      <c r="R105" s="67">
        <v>0.88600000000000001</v>
      </c>
      <c r="S105" s="73">
        <v>4.3899999999999997</v>
      </c>
      <c r="T105" s="67">
        <v>6.8599999999999994E-2</v>
      </c>
      <c r="U105" s="67">
        <v>27.2</v>
      </c>
      <c r="V105" s="67">
        <v>2.29</v>
      </c>
      <c r="W105" s="67">
        <v>15</v>
      </c>
      <c r="X105" s="67">
        <v>11.9</v>
      </c>
      <c r="Y105" s="67">
        <v>8.0500000000000007</v>
      </c>
      <c r="Z105" s="67">
        <v>21</v>
      </c>
      <c r="AA105" s="67">
        <v>0.5</v>
      </c>
      <c r="AB105" s="67">
        <v>2.6</v>
      </c>
      <c r="AC105" s="67">
        <v>96.3</v>
      </c>
    </row>
    <row r="106" spans="8:29" ht="16" thickBot="1">
      <c r="O106" s="66" t="s">
        <v>976</v>
      </c>
      <c r="P106" s="67">
        <v>424</v>
      </c>
      <c r="Q106" s="67">
        <v>64.2</v>
      </c>
      <c r="R106" s="67">
        <v>2.21</v>
      </c>
      <c r="S106" s="74">
        <v>7.6</v>
      </c>
      <c r="T106" s="67">
        <v>0.255</v>
      </c>
      <c r="U106" s="67">
        <v>51.3</v>
      </c>
      <c r="V106" s="67">
        <v>42.6</v>
      </c>
      <c r="W106" s="67">
        <v>47.3</v>
      </c>
      <c r="X106" s="67">
        <v>1034</v>
      </c>
      <c r="Y106" s="67">
        <v>105.3</v>
      </c>
      <c r="Z106" s="67">
        <v>662</v>
      </c>
      <c r="AA106" s="67">
        <v>598</v>
      </c>
      <c r="AB106" s="67">
        <v>937</v>
      </c>
      <c r="AC106" s="67">
        <v>570</v>
      </c>
    </row>
    <row r="107" spans="8:29" ht="15">
      <c r="O107" s="68" t="s">
        <v>977</v>
      </c>
    </row>
    <row r="110" spans="8:29">
      <c r="V110">
        <f>10^(V114-V127)</f>
        <v>3311.3112148259115</v>
      </c>
    </row>
    <row r="111" spans="8:29">
      <c r="P111" t="s">
        <v>981</v>
      </c>
      <c r="Q111" t="s">
        <v>982</v>
      </c>
      <c r="R111" t="s">
        <v>984</v>
      </c>
      <c r="S111" t="s">
        <v>136</v>
      </c>
    </row>
    <row r="112" spans="8:29">
      <c r="P112" s="41" t="s">
        <v>983</v>
      </c>
      <c r="Q112" s="41">
        <f>LOG(318)</f>
        <v>2.5024271199844326</v>
      </c>
      <c r="R112" s="41">
        <f>LOG(P106)</f>
        <v>2.6273658565927325</v>
      </c>
      <c r="S112" s="41">
        <f t="shared" ref="S112:S125" si="74">R112/SQRT(48)</f>
        <v>0.37922759614086149</v>
      </c>
    </row>
    <row r="113" spans="16:23">
      <c r="P113" s="41" t="s">
        <v>949</v>
      </c>
      <c r="Q113" s="41">
        <f>LOG(Q103)</f>
        <v>1.7466341989375787</v>
      </c>
      <c r="R113" s="41">
        <f>LOG(Q106)</f>
        <v>1.8075350280688534</v>
      </c>
      <c r="S113" s="41">
        <f t="shared" si="74"/>
        <v>0.26089520875630756</v>
      </c>
    </row>
    <row r="114" spans="16:23">
      <c r="P114" s="45" t="s">
        <v>950</v>
      </c>
      <c r="Q114" s="45">
        <f>LOG(4.39)</f>
        <v>0.64246452024212131</v>
      </c>
      <c r="R114" s="45">
        <f>LOG(R106)</f>
        <v>0.34439227368511072</v>
      </c>
      <c r="S114" s="45">
        <f t="shared" si="74"/>
        <v>4.9708742979731491E-2</v>
      </c>
      <c r="U114" t="s">
        <v>942</v>
      </c>
      <c r="V114">
        <v>2.93</v>
      </c>
      <c r="W114">
        <v>0.44</v>
      </c>
    </row>
    <row r="115" spans="16:23">
      <c r="P115" s="41" t="s">
        <v>717</v>
      </c>
      <c r="Q115" s="41">
        <f>LOG(S103)</f>
        <v>1.0863598306747482</v>
      </c>
      <c r="R115" s="41">
        <f>LOG(S106)</f>
        <v>0.88081359228079137</v>
      </c>
      <c r="S115" s="41">
        <f t="shared" si="74"/>
        <v>0.12713449115229905</v>
      </c>
      <c r="U115" t="s">
        <v>943</v>
      </c>
      <c r="V115">
        <v>2.77</v>
      </c>
      <c r="W115">
        <v>0.43</v>
      </c>
    </row>
    <row r="116" spans="16:23">
      <c r="P116" s="45" t="s">
        <v>952</v>
      </c>
      <c r="Q116" s="45">
        <f>LOG(T103)</f>
        <v>-0.46852108295774486</v>
      </c>
      <c r="R116" s="45">
        <f>LOG(T106)</f>
        <v>-0.59345981956604488</v>
      </c>
      <c r="S116" s="45">
        <f t="shared" si="74"/>
        <v>-8.5658546644920688E-2</v>
      </c>
      <c r="U116" t="s">
        <v>941</v>
      </c>
      <c r="V116">
        <v>2.77</v>
      </c>
      <c r="W116">
        <v>0.41</v>
      </c>
    </row>
    <row r="117" spans="16:23">
      <c r="P117" s="41" t="s">
        <v>951</v>
      </c>
      <c r="Q117" s="41">
        <f>LOG(U103)</f>
        <v>2.0644579892269186</v>
      </c>
      <c r="R117" s="41">
        <f>LOG(U106)</f>
        <v>1.7101173651118162</v>
      </c>
      <c r="S117" s="41">
        <f t="shared" si="74"/>
        <v>0.24683418027329018</v>
      </c>
      <c r="U117" t="s">
        <v>956</v>
      </c>
      <c r="V117">
        <v>2.72</v>
      </c>
      <c r="W117">
        <v>0.4</v>
      </c>
    </row>
    <row r="118" spans="16:23">
      <c r="P118" s="41" t="s">
        <v>985</v>
      </c>
      <c r="Q118" s="41">
        <f>LOG(V103)</f>
        <v>1.6720978579357175</v>
      </c>
      <c r="R118" s="41">
        <f>LOG(V106)</f>
        <v>1.6294095991027189</v>
      </c>
      <c r="S118" s="41">
        <f t="shared" si="74"/>
        <v>0.23518501766552874</v>
      </c>
      <c r="U118" t="s">
        <v>944</v>
      </c>
      <c r="V118">
        <v>2.69</v>
      </c>
      <c r="W118">
        <v>0.4</v>
      </c>
    </row>
    <row r="119" spans="16:23">
      <c r="P119" s="41" t="s">
        <v>954</v>
      </c>
      <c r="Q119" s="41">
        <f>LOG(W103)</f>
        <v>2.0492180226701815</v>
      </c>
      <c r="R119" s="41">
        <f>LOG(W106)</f>
        <v>1.6748611407378116</v>
      </c>
      <c r="S119" s="41">
        <f t="shared" si="74"/>
        <v>0.24174538261505482</v>
      </c>
      <c r="U119" t="s">
        <v>983</v>
      </c>
      <c r="V119">
        <v>2.5</v>
      </c>
      <c r="W119">
        <v>0.18</v>
      </c>
    </row>
    <row r="120" spans="16:23">
      <c r="P120" s="41" t="s">
        <v>942</v>
      </c>
      <c r="Q120" s="41">
        <f>LOG(X103)</f>
        <v>2.9370161074648142</v>
      </c>
      <c r="R120" s="41">
        <f>LOG(X106)</f>
        <v>3.0145205387579237</v>
      </c>
      <c r="S120" s="41">
        <f t="shared" si="74"/>
        <v>0.43510856113238577</v>
      </c>
      <c r="U120" t="s">
        <v>980</v>
      </c>
      <c r="V120">
        <v>2.11</v>
      </c>
      <c r="W120">
        <v>0.28999999999999998</v>
      </c>
    </row>
    <row r="121" spans="16:23">
      <c r="P121" s="41" t="s">
        <v>980</v>
      </c>
      <c r="Q121" s="41">
        <f>LOG(Y103)</f>
        <v>2.1072099696478683</v>
      </c>
      <c r="R121" s="41">
        <f>LOG(Y106)</f>
        <v>2.0224283711854865</v>
      </c>
      <c r="S121" s="41">
        <f t="shared" si="74"/>
        <v>0.29191239113016926</v>
      </c>
      <c r="U121" t="s">
        <v>951</v>
      </c>
      <c r="V121">
        <v>2.06</v>
      </c>
      <c r="W121">
        <v>0.25</v>
      </c>
    </row>
    <row r="122" spans="16:23">
      <c r="P122" s="41" t="s">
        <v>941</v>
      </c>
      <c r="Q122" s="41">
        <f>LOG(Z103)</f>
        <v>2.7664128471123997</v>
      </c>
      <c r="R122" s="41">
        <f>LOG(Z106)</f>
        <v>2.8208579894397001</v>
      </c>
      <c r="S122" s="41">
        <f t="shared" si="74"/>
        <v>0.40715577988717938</v>
      </c>
      <c r="U122" t="s">
        <v>954</v>
      </c>
      <c r="V122">
        <v>2.0499999999999998</v>
      </c>
      <c r="W122">
        <v>0.24</v>
      </c>
    </row>
    <row r="123" spans="16:23">
      <c r="P123" s="41" t="s">
        <v>944</v>
      </c>
      <c r="Q123" s="41">
        <f>LOG(AA103)</f>
        <v>2.6910814921229687</v>
      </c>
      <c r="R123" s="41">
        <f>LOG(AA106)</f>
        <v>2.7767011839884108</v>
      </c>
      <c r="S123" s="41">
        <f t="shared" si="74"/>
        <v>0.4007822940087154</v>
      </c>
      <c r="U123" t="s">
        <v>949</v>
      </c>
      <c r="V123">
        <v>1.75</v>
      </c>
      <c r="W123">
        <v>0.26</v>
      </c>
    </row>
    <row r="124" spans="16:23">
      <c r="P124" s="41" t="s">
        <v>943</v>
      </c>
      <c r="Q124" s="41">
        <f>LOG(AB103)</f>
        <v>2.7671558660821804</v>
      </c>
      <c r="R124" s="41">
        <f>LOG(AB106)</f>
        <v>2.9717395908877782</v>
      </c>
      <c r="S124" s="41">
        <f t="shared" si="74"/>
        <v>0.42893366319013176</v>
      </c>
      <c r="U124" t="s">
        <v>985</v>
      </c>
      <c r="V124">
        <v>1.67</v>
      </c>
      <c r="W124">
        <v>0.24</v>
      </c>
    </row>
    <row r="125" spans="16:23">
      <c r="P125" s="41" t="s">
        <v>956</v>
      </c>
      <c r="Q125" s="41">
        <f>LOG(AC103)</f>
        <v>2.7218106152125467</v>
      </c>
      <c r="R125" s="41">
        <f>LOG(AC106)</f>
        <v>2.7558748556724915</v>
      </c>
      <c r="S125" s="41">
        <f t="shared" si="74"/>
        <v>0.39777627244385855</v>
      </c>
      <c r="T125">
        <f>LOG(1.62)</f>
        <v>0.20951501454263097</v>
      </c>
      <c r="U125" t="s">
        <v>717</v>
      </c>
      <c r="V125">
        <v>1.0900000000000001</v>
      </c>
      <c r="W125">
        <v>0.13</v>
      </c>
    </row>
    <row r="126" spans="16:23">
      <c r="S126">
        <f t="shared" ref="S126:S130" si="75">R126/SQRT(54)</f>
        <v>0</v>
      </c>
      <c r="U126" t="s">
        <v>950</v>
      </c>
      <c r="V126">
        <v>0.64</v>
      </c>
      <c r="W126">
        <v>0.05</v>
      </c>
    </row>
    <row r="127" spans="16:23">
      <c r="S127">
        <f t="shared" si="75"/>
        <v>0</v>
      </c>
      <c r="U127" t="s">
        <v>952</v>
      </c>
      <c r="V127">
        <v>-0.59</v>
      </c>
      <c r="W127">
        <v>0.09</v>
      </c>
    </row>
    <row r="128" spans="16:23">
      <c r="S128">
        <f t="shared" si="75"/>
        <v>0</v>
      </c>
    </row>
    <row r="129" spans="19:22">
      <c r="S129">
        <f t="shared" si="75"/>
        <v>0</v>
      </c>
    </row>
    <row r="130" spans="19:22">
      <c r="S130">
        <f t="shared" si="75"/>
        <v>0</v>
      </c>
      <c r="V130">
        <f>10^(V114-V127)</f>
        <v>3311.3112148259115</v>
      </c>
    </row>
    <row r="135" spans="19:22">
      <c r="V135">
        <f>10^(6.74-6.2)</f>
        <v>3.4673685045253171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9"/>
  <sheetViews>
    <sheetView tabSelected="1" topLeftCell="AB1" workbookViewId="0">
      <selection activeCell="AI5" sqref="AI5"/>
    </sheetView>
  </sheetViews>
  <sheetFormatPr baseColWidth="10" defaultRowHeight="13" x14ac:dyDescent="0"/>
  <cols>
    <col min="21" max="21" width="20" customWidth="1"/>
  </cols>
  <sheetData>
    <row r="1" spans="1:39">
      <c r="A1" t="s">
        <v>632</v>
      </c>
      <c r="B1" t="s">
        <v>694</v>
      </c>
      <c r="C1" t="s">
        <v>690</v>
      </c>
      <c r="D1" t="s">
        <v>729</v>
      </c>
      <c r="E1" t="s">
        <v>998</v>
      </c>
      <c r="F1" t="s">
        <v>730</v>
      </c>
      <c r="G1" t="s">
        <v>731</v>
      </c>
      <c r="H1" t="s">
        <v>747</v>
      </c>
      <c r="I1" t="s">
        <v>918</v>
      </c>
      <c r="J1" t="s">
        <v>763</v>
      </c>
      <c r="K1" t="s">
        <v>786</v>
      </c>
      <c r="L1" t="s">
        <v>797</v>
      </c>
      <c r="M1" t="s">
        <v>779</v>
      </c>
      <c r="N1" t="s">
        <v>928</v>
      </c>
      <c r="O1" t="s">
        <v>770</v>
      </c>
      <c r="P1" t="s">
        <v>759</v>
      </c>
    </row>
    <row r="2" spans="1:39">
      <c r="A2" t="s">
        <v>990</v>
      </c>
      <c r="B2">
        <v>0.44249333400000002</v>
      </c>
      <c r="C2">
        <v>54.7254407</v>
      </c>
      <c r="D2">
        <v>162.3472391</v>
      </c>
      <c r="E2">
        <v>28.699208420000001</v>
      </c>
      <c r="F2">
        <v>302.95066029999998</v>
      </c>
      <c r="G2">
        <v>9.2509768020000003</v>
      </c>
      <c r="H2">
        <v>0.51510521099999995</v>
      </c>
      <c r="I2">
        <v>11.39402827</v>
      </c>
      <c r="J2">
        <v>8.0534430659999998</v>
      </c>
      <c r="K2">
        <v>2109.8709399999998</v>
      </c>
      <c r="L2">
        <v>1079.5934199999999</v>
      </c>
      <c r="M2">
        <v>1968.5791999999999</v>
      </c>
      <c r="N2">
        <v>3427.4954600000001</v>
      </c>
      <c r="O2">
        <v>2783.9913999999999</v>
      </c>
      <c r="P2">
        <v>15.028256150000001</v>
      </c>
      <c r="R2" t="s">
        <v>1031</v>
      </c>
      <c r="T2" t="s">
        <v>1050</v>
      </c>
      <c r="AI2" t="s">
        <v>1076</v>
      </c>
    </row>
    <row r="3" spans="1:39">
      <c r="A3" t="s">
        <v>990</v>
      </c>
      <c r="B3">
        <v>1.0999999999999999E-2</v>
      </c>
      <c r="C3">
        <v>14.75638618</v>
      </c>
      <c r="D3">
        <v>6919.0232150000002</v>
      </c>
      <c r="E3">
        <v>761.668453</v>
      </c>
      <c r="F3">
        <v>12763</v>
      </c>
      <c r="G3">
        <v>324</v>
      </c>
      <c r="H3">
        <v>21.700945539999999</v>
      </c>
      <c r="I3">
        <v>12.59879001</v>
      </c>
      <c r="J3">
        <v>18.159143350000001</v>
      </c>
      <c r="K3">
        <v>988.63276299999995</v>
      </c>
      <c r="L3">
        <v>1189.34997</v>
      </c>
      <c r="M3">
        <v>1135.6408300000001</v>
      </c>
      <c r="N3">
        <v>1059.5903599999999</v>
      </c>
      <c r="O3">
        <v>1245.59923</v>
      </c>
      <c r="P3">
        <v>85.387771779999994</v>
      </c>
      <c r="AI3" t="s">
        <v>1077</v>
      </c>
    </row>
    <row r="4" spans="1:39">
      <c r="A4" t="s">
        <v>990</v>
      </c>
      <c r="B4">
        <v>0.27021915600000002</v>
      </c>
      <c r="C4">
        <v>26.104606189999998</v>
      </c>
      <c r="D4">
        <v>206.18536810000001</v>
      </c>
      <c r="E4">
        <v>25.773171009999999</v>
      </c>
      <c r="F4">
        <v>375.96767369999998</v>
      </c>
      <c r="G4">
        <v>17.00395151</v>
      </c>
      <c r="H4">
        <v>0.55650432800000005</v>
      </c>
      <c r="I4">
        <v>6.5543117449999997</v>
      </c>
      <c r="J4">
        <v>20.456179379999998</v>
      </c>
      <c r="K4">
        <v>2126.7943300000002</v>
      </c>
      <c r="L4">
        <v>2387.2459199999998</v>
      </c>
      <c r="M4">
        <v>2806.32195</v>
      </c>
      <c r="N4">
        <v>1371.1127300000001</v>
      </c>
      <c r="O4">
        <v>3702.9640100000001</v>
      </c>
      <c r="P4">
        <v>124.0230799</v>
      </c>
      <c r="Q4" t="s">
        <v>1051</v>
      </c>
      <c r="S4" t="s">
        <v>1032</v>
      </c>
      <c r="T4" t="s">
        <v>1033</v>
      </c>
      <c r="U4" t="s">
        <v>1034</v>
      </c>
      <c r="V4" t="s">
        <v>1035</v>
      </c>
      <c r="W4" t="s">
        <v>1036</v>
      </c>
      <c r="X4" t="s">
        <v>1037</v>
      </c>
      <c r="Y4" t="s">
        <v>1038</v>
      </c>
      <c r="Z4" t="s">
        <v>1039</v>
      </c>
      <c r="AA4" t="s">
        <v>1040</v>
      </c>
      <c r="AB4" t="s">
        <v>1041</v>
      </c>
      <c r="AC4" t="s">
        <v>1042</v>
      </c>
      <c r="AD4" t="s">
        <v>1043</v>
      </c>
      <c r="AE4" t="s">
        <v>1044</v>
      </c>
      <c r="AF4" t="s">
        <v>1045</v>
      </c>
      <c r="AG4" t="s">
        <v>1046</v>
      </c>
      <c r="AI4" t="s">
        <v>1095</v>
      </c>
    </row>
    <row r="5" spans="1:39">
      <c r="A5" t="s">
        <v>991</v>
      </c>
      <c r="B5">
        <v>0.14875233099999999</v>
      </c>
      <c r="C5">
        <v>8.8539051620000002</v>
      </c>
      <c r="D5">
        <v>401.43311410000001</v>
      </c>
      <c r="E5">
        <v>51.948702789999999</v>
      </c>
      <c r="F5">
        <v>1274.470695</v>
      </c>
      <c r="G5">
        <v>45.749449730000002</v>
      </c>
      <c r="H5">
        <v>1.719929169</v>
      </c>
      <c r="I5">
        <v>9.9346817000000005</v>
      </c>
      <c r="J5">
        <v>55.67724106</v>
      </c>
      <c r="K5">
        <v>1084.1503700000001</v>
      </c>
      <c r="L5">
        <v>2118.7766799999999</v>
      </c>
      <c r="M5">
        <v>1954.1820399999999</v>
      </c>
      <c r="N5">
        <v>821.63233700000001</v>
      </c>
      <c r="O5">
        <v>2578.5586600000001</v>
      </c>
      <c r="P5">
        <v>157.4790189</v>
      </c>
      <c r="Q5">
        <v>56.5</v>
      </c>
      <c r="R5" t="s">
        <v>1047</v>
      </c>
      <c r="S5">
        <v>-0.74548700000000001</v>
      </c>
      <c r="T5" s="41">
        <v>15.401268</v>
      </c>
      <c r="U5">
        <v>-23.282789999999999</v>
      </c>
      <c r="V5">
        <v>2.9250409999999998</v>
      </c>
      <c r="W5">
        <v>2.6394931000000001</v>
      </c>
      <c r="X5">
        <v>3.0323522000000001</v>
      </c>
      <c r="Y5">
        <v>1.2145619999999999</v>
      </c>
      <c r="Z5">
        <v>0.6245733</v>
      </c>
      <c r="AA5">
        <v>-0.84552300000000002</v>
      </c>
      <c r="AB5">
        <v>-1.0870010000000001</v>
      </c>
      <c r="AC5">
        <v>-0.410215</v>
      </c>
      <c r="AD5">
        <v>2.4690455999999998</v>
      </c>
      <c r="AE5">
        <v>-0.50450300000000003</v>
      </c>
      <c r="AF5">
        <v>-0.179533</v>
      </c>
      <c r="AG5">
        <v>-1.013015</v>
      </c>
    </row>
    <row r="6" spans="1:39">
      <c r="A6" t="s">
        <v>991</v>
      </c>
      <c r="B6">
        <v>1.6E-2</v>
      </c>
      <c r="C6">
        <v>12.16755618</v>
      </c>
      <c r="D6">
        <v>7127.1897449999997</v>
      </c>
      <c r="E6">
        <v>601.512518</v>
      </c>
      <c r="F6">
        <v>4489.8481929999998</v>
      </c>
      <c r="G6">
        <v>146.94348830000001</v>
      </c>
      <c r="H6">
        <v>13.602352550000001</v>
      </c>
      <c r="I6">
        <v>9.6343945229999992</v>
      </c>
      <c r="J6">
        <v>29.649511820000001</v>
      </c>
      <c r="K6">
        <v>670.89186800000004</v>
      </c>
      <c r="L6">
        <v>1770.49425</v>
      </c>
      <c r="M6">
        <v>1421.57035</v>
      </c>
      <c r="N6">
        <v>2081.3008100000002</v>
      </c>
      <c r="O6">
        <v>597.69670499999995</v>
      </c>
      <c r="P6">
        <v>78.245530799999997</v>
      </c>
      <c r="Q6">
        <v>85.7</v>
      </c>
      <c r="R6" t="s">
        <v>1048</v>
      </c>
      <c r="S6">
        <v>1.0181751999999999</v>
      </c>
      <c r="T6">
        <v>-15.646570000000001</v>
      </c>
      <c r="U6" s="41">
        <v>31.259844999999999</v>
      </c>
      <c r="V6">
        <v>-10.199199999999999</v>
      </c>
      <c r="W6">
        <v>3.9620422999999998</v>
      </c>
      <c r="X6">
        <v>-8.4011399999999998</v>
      </c>
      <c r="Y6">
        <v>-0.27047700000000002</v>
      </c>
      <c r="Z6">
        <v>0.63100109999999998</v>
      </c>
      <c r="AA6">
        <v>1.642293</v>
      </c>
      <c r="AB6">
        <v>-2.4948329999999999</v>
      </c>
      <c r="AC6">
        <v>5.6610339999999999</v>
      </c>
      <c r="AD6">
        <v>-0.99005200000000004</v>
      </c>
      <c r="AE6">
        <v>2.4112651000000001</v>
      </c>
      <c r="AF6">
        <v>-5.6392040000000003</v>
      </c>
      <c r="AG6">
        <v>3.0617426999999999</v>
      </c>
    </row>
    <row r="7" spans="1:39">
      <c r="A7" t="s">
        <v>991</v>
      </c>
      <c r="B7">
        <v>7.6186223999999997E-2</v>
      </c>
      <c r="C7">
        <v>19.209700600000001</v>
      </c>
      <c r="D7">
        <v>840.04688209999995</v>
      </c>
      <c r="E7">
        <v>87.284850359999993</v>
      </c>
      <c r="F7">
        <v>714.6002962</v>
      </c>
      <c r="G7">
        <v>30.85985479</v>
      </c>
      <c r="H7">
        <v>2.4300612909999999</v>
      </c>
      <c r="I7">
        <v>22.985278050000002</v>
      </c>
      <c r="J7">
        <v>28.793262639999998</v>
      </c>
      <c r="K7">
        <v>987.515353</v>
      </c>
      <c r="L7">
        <v>1719.36409</v>
      </c>
      <c r="M7">
        <v>1531.77927</v>
      </c>
      <c r="N7">
        <v>1496.7933800000001</v>
      </c>
      <c r="O7">
        <v>1719.36409</v>
      </c>
      <c r="P7">
        <v>115.1730505</v>
      </c>
      <c r="Q7">
        <v>100</v>
      </c>
      <c r="R7" t="s">
        <v>1049</v>
      </c>
      <c r="S7">
        <v>-1.9061239999999999</v>
      </c>
      <c r="T7">
        <v>-4.791334</v>
      </c>
      <c r="U7">
        <v>9.3557170999999997</v>
      </c>
      <c r="V7">
        <v>-1.0321579999999999</v>
      </c>
      <c r="W7">
        <v>-1.936904</v>
      </c>
      <c r="X7">
        <v>-0.72090100000000001</v>
      </c>
      <c r="Y7">
        <v>0.33252159999999997</v>
      </c>
      <c r="Z7">
        <v>-0.31811899999999999</v>
      </c>
      <c r="AA7">
        <v>1.0324335</v>
      </c>
      <c r="AB7">
        <v>-2.5561449999999999</v>
      </c>
      <c r="AC7">
        <v>7.0601322</v>
      </c>
      <c r="AD7">
        <v>-2.9973700000000001</v>
      </c>
      <c r="AE7">
        <v>1.2545966</v>
      </c>
      <c r="AF7">
        <v>-2.9123770000000002</v>
      </c>
      <c r="AG7">
        <v>3.1391733999999998</v>
      </c>
      <c r="AI7" t="s">
        <v>1078</v>
      </c>
    </row>
    <row r="8" spans="1:39">
      <c r="A8" t="s">
        <v>992</v>
      </c>
      <c r="B8">
        <v>0.104447503</v>
      </c>
      <c r="C8">
        <v>14.29294108</v>
      </c>
      <c r="D8">
        <v>1900.9217410000001</v>
      </c>
      <c r="E8">
        <v>202.13146259999999</v>
      </c>
      <c r="F8">
        <v>1773.622699</v>
      </c>
      <c r="G8">
        <v>51.714015379999999</v>
      </c>
      <c r="H8">
        <v>4.2648157749999998</v>
      </c>
      <c r="I8">
        <v>8.7095056530000008</v>
      </c>
      <c r="J8">
        <v>41.04544121</v>
      </c>
      <c r="K8">
        <v>995.41208400000005</v>
      </c>
      <c r="L8">
        <v>571.714112</v>
      </c>
      <c r="M8">
        <v>612.74801300000001</v>
      </c>
      <c r="N8">
        <v>585.07729500000005</v>
      </c>
      <c r="O8">
        <v>1170.1545900000001</v>
      </c>
      <c r="P8">
        <v>226.8848955</v>
      </c>
      <c r="AK8" t="s">
        <v>1090</v>
      </c>
    </row>
    <row r="9" spans="1:39">
      <c r="A9" t="s">
        <v>992</v>
      </c>
      <c r="B9">
        <v>0.14441704899999999</v>
      </c>
      <c r="C9">
        <v>36.007494749999999</v>
      </c>
      <c r="D9">
        <v>1169.50882</v>
      </c>
      <c r="E9">
        <v>179.9792813</v>
      </c>
      <c r="F9">
        <v>1253.4485179999999</v>
      </c>
      <c r="G9">
        <v>39.170266179999999</v>
      </c>
      <c r="H9">
        <v>2.2841969149999999</v>
      </c>
      <c r="I9">
        <v>5.7443427429999998</v>
      </c>
      <c r="J9">
        <v>30.379376600000001</v>
      </c>
      <c r="K9">
        <v>1772.6438900000001</v>
      </c>
      <c r="L9">
        <v>1041.91391</v>
      </c>
      <c r="M9">
        <v>1343.4128599999999</v>
      </c>
      <c r="N9">
        <v>1374.8136500000001</v>
      </c>
      <c r="O9">
        <v>1374.8136500000001</v>
      </c>
      <c r="P9">
        <v>142.84965020000001</v>
      </c>
      <c r="AI9" t="s">
        <v>1079</v>
      </c>
      <c r="AJ9" t="s">
        <v>1080</v>
      </c>
      <c r="AK9" t="s">
        <v>1081</v>
      </c>
      <c r="AM9" t="s">
        <v>1082</v>
      </c>
    </row>
    <row r="10" spans="1:39">
      <c r="A10" t="s">
        <v>992</v>
      </c>
      <c r="B10">
        <v>0.219125498</v>
      </c>
      <c r="C10">
        <v>9.0274886030000001</v>
      </c>
      <c r="D10">
        <v>413.04945679999997</v>
      </c>
      <c r="E10">
        <v>55.336930809999998</v>
      </c>
      <c r="F10">
        <v>376.58647860000002</v>
      </c>
      <c r="G10">
        <v>15.891360349999999</v>
      </c>
      <c r="H10">
        <v>0.90553191300000002</v>
      </c>
      <c r="I10">
        <v>3.6324963669999999</v>
      </c>
      <c r="J10">
        <v>31.782720699999999</v>
      </c>
      <c r="K10">
        <v>520.40970500000003</v>
      </c>
      <c r="L10">
        <v>359.58043700000002</v>
      </c>
      <c r="M10">
        <v>570.79836399999999</v>
      </c>
      <c r="N10">
        <v>1614.4615799999999</v>
      </c>
      <c r="O10">
        <v>807.23078799999996</v>
      </c>
      <c r="P10">
        <v>118.6173079</v>
      </c>
      <c r="AI10" t="s">
        <v>690</v>
      </c>
      <c r="AJ10">
        <v>0.98246699999999998</v>
      </c>
      <c r="AK10">
        <v>0.1593</v>
      </c>
      <c r="AL10" t="s">
        <v>1083</v>
      </c>
      <c r="AM10">
        <v>1</v>
      </c>
    </row>
    <row r="11" spans="1:39">
      <c r="A11" t="s">
        <v>993</v>
      </c>
      <c r="B11">
        <v>0.120572286</v>
      </c>
      <c r="C11">
        <v>4.0278181599999998</v>
      </c>
      <c r="D11">
        <v>362.54839149999998</v>
      </c>
      <c r="E11">
        <v>59.798183829999999</v>
      </c>
      <c r="F11">
        <v>315.61670650000002</v>
      </c>
      <c r="G11">
        <v>16.39703544</v>
      </c>
      <c r="H11">
        <v>1.5896359769999999</v>
      </c>
      <c r="I11">
        <v>3.156508213</v>
      </c>
      <c r="J11">
        <v>53.274125329999997</v>
      </c>
      <c r="K11">
        <v>393.08470799999998</v>
      </c>
      <c r="L11">
        <v>205.83765199999999</v>
      </c>
      <c r="M11">
        <v>350.19866200000001</v>
      </c>
      <c r="N11">
        <v>1981.02279</v>
      </c>
      <c r="O11">
        <v>924.17981099999997</v>
      </c>
      <c r="P11">
        <v>78.904176620000001</v>
      </c>
      <c r="AC11" t="s">
        <v>1053</v>
      </c>
      <c r="AF11" t="s">
        <v>1056</v>
      </c>
      <c r="AI11" t="s">
        <v>770</v>
      </c>
      <c r="AJ11">
        <v>0.82372199999999995</v>
      </c>
      <c r="AK11">
        <v>0.13350000000000001</v>
      </c>
      <c r="AL11" t="s">
        <v>1084</v>
      </c>
      <c r="AM11">
        <v>2</v>
      </c>
    </row>
    <row r="12" spans="1:39">
      <c r="A12" t="s">
        <v>993</v>
      </c>
      <c r="B12">
        <v>0.03</v>
      </c>
      <c r="C12">
        <v>7.9221036790000001</v>
      </c>
      <c r="D12">
        <v>2450.5564909999998</v>
      </c>
      <c r="E12">
        <v>260.57599160000001</v>
      </c>
      <c r="F12">
        <v>2750.6566579999999</v>
      </c>
      <c r="G12">
        <v>87.967194050000003</v>
      </c>
      <c r="H12">
        <v>4.4657227610000003</v>
      </c>
      <c r="I12">
        <v>5.4182616570000004</v>
      </c>
      <c r="J12">
        <v>44.547627089999999</v>
      </c>
      <c r="K12">
        <v>515.77928199999997</v>
      </c>
      <c r="L12">
        <v>503.99886700000002</v>
      </c>
      <c r="M12">
        <v>763.91943300000003</v>
      </c>
      <c r="N12">
        <v>1055.6701</v>
      </c>
      <c r="O12">
        <v>857.47057099999995</v>
      </c>
      <c r="P12">
        <v>107.1838214</v>
      </c>
      <c r="AB12" t="s">
        <v>1052</v>
      </c>
      <c r="AC12" t="s">
        <v>1054</v>
      </c>
      <c r="AD12">
        <v>-3.76</v>
      </c>
      <c r="AE12" t="s">
        <v>1055</v>
      </c>
      <c r="AI12" t="s">
        <v>521</v>
      </c>
      <c r="AJ12">
        <v>0.77283999999999997</v>
      </c>
      <c r="AK12">
        <v>0.12529999999999999</v>
      </c>
      <c r="AL12" t="s">
        <v>1085</v>
      </c>
      <c r="AM12">
        <v>3</v>
      </c>
    </row>
    <row r="13" spans="1:39">
      <c r="A13" t="s">
        <v>993</v>
      </c>
      <c r="B13">
        <v>0.15022110499999999</v>
      </c>
      <c r="C13">
        <v>23.414904379999999</v>
      </c>
      <c r="D13">
        <v>1518.229227</v>
      </c>
      <c r="E13">
        <v>194.21451909999999</v>
      </c>
      <c r="F13">
        <v>1449.6684299999999</v>
      </c>
      <c r="G13">
        <v>75.313708500000004</v>
      </c>
      <c r="H13">
        <v>3.178120694</v>
      </c>
      <c r="I13">
        <v>13.926386129999999</v>
      </c>
      <c r="J13">
        <v>35.956331110000001</v>
      </c>
      <c r="K13">
        <v>776.85807699999998</v>
      </c>
      <c r="L13">
        <v>956.42448100000001</v>
      </c>
      <c r="M13">
        <v>795.01627299999996</v>
      </c>
      <c r="N13">
        <v>308.29633200000001</v>
      </c>
      <c r="O13">
        <v>1352.5884699999999</v>
      </c>
      <c r="P13">
        <v>90.60427688</v>
      </c>
      <c r="AI13" t="s">
        <v>730</v>
      </c>
      <c r="AJ13">
        <v>0.56005499999999997</v>
      </c>
      <c r="AK13">
        <v>9.0800000000000006E-2</v>
      </c>
      <c r="AL13" t="s">
        <v>1086</v>
      </c>
      <c r="AM13">
        <v>4</v>
      </c>
    </row>
    <row r="14" spans="1:39">
      <c r="A14" t="s">
        <v>994</v>
      </c>
      <c r="B14">
        <v>3.2000000000000001E-2</v>
      </c>
      <c r="C14">
        <v>18.406157029999999</v>
      </c>
      <c r="D14">
        <v>5401.3997849999996</v>
      </c>
      <c r="E14">
        <v>601.512518</v>
      </c>
      <c r="F14">
        <v>5401.3997849999996</v>
      </c>
      <c r="G14">
        <v>255.84347299999999</v>
      </c>
      <c r="H14">
        <v>8.7692347519999991</v>
      </c>
      <c r="I14">
        <v>5.6363959299999999</v>
      </c>
      <c r="J14">
        <v>33.830541879999998</v>
      </c>
      <c r="K14">
        <v>643.70433800000001</v>
      </c>
      <c r="L14">
        <v>227.58385100000001</v>
      </c>
      <c r="M14">
        <v>748.01378499999998</v>
      </c>
      <c r="N14">
        <v>321.852169</v>
      </c>
      <c r="O14">
        <v>1201.1947700000001</v>
      </c>
      <c r="P14">
        <v>81.397977740000002</v>
      </c>
      <c r="AI14" t="s">
        <v>729</v>
      </c>
      <c r="AJ14">
        <v>0.52733399999999997</v>
      </c>
      <c r="AK14">
        <v>8.5500000000000007E-2</v>
      </c>
      <c r="AL14" t="s">
        <v>1086</v>
      </c>
      <c r="AM14">
        <v>5</v>
      </c>
    </row>
    <row r="15" spans="1:39">
      <c r="A15" t="s">
        <v>994</v>
      </c>
      <c r="B15">
        <v>2.7E-2</v>
      </c>
      <c r="C15">
        <v>7.8912837280000003</v>
      </c>
      <c r="D15">
        <v>1185.185185</v>
      </c>
      <c r="E15">
        <v>162.4925896</v>
      </c>
      <c r="F15">
        <v>1008.198117</v>
      </c>
      <c r="G15">
        <v>41.572668460000003</v>
      </c>
      <c r="H15">
        <v>2.538946712</v>
      </c>
      <c r="I15">
        <v>4.9683797099999998</v>
      </c>
      <c r="J15">
        <v>9.064669254</v>
      </c>
      <c r="K15">
        <v>482.23338200000001</v>
      </c>
      <c r="L15">
        <v>419.80854299999999</v>
      </c>
      <c r="M15">
        <v>348.96077000000002</v>
      </c>
      <c r="N15">
        <v>1057.85124</v>
      </c>
      <c r="O15">
        <v>730.92912699999999</v>
      </c>
      <c r="P15">
        <v>33.057851239999998</v>
      </c>
      <c r="AI15" t="s">
        <v>1087</v>
      </c>
      <c r="AJ15">
        <v>0.44638299999999997</v>
      </c>
      <c r="AK15">
        <v>7.2400000000000006E-2</v>
      </c>
      <c r="AL15" t="s">
        <v>1088</v>
      </c>
      <c r="AM15">
        <v>6</v>
      </c>
    </row>
    <row r="16" spans="1:39">
      <c r="A16" t="s">
        <v>995</v>
      </c>
      <c r="B16">
        <v>5.0999999999999997E-2</v>
      </c>
      <c r="C16">
        <v>7.2477121670000004</v>
      </c>
      <c r="D16">
        <v>3984.0653849999999</v>
      </c>
      <c r="E16">
        <v>404.50833210000002</v>
      </c>
      <c r="F16">
        <v>2817.1596509999999</v>
      </c>
      <c r="G16">
        <v>108.3853239</v>
      </c>
      <c r="H16">
        <v>7.6036507929999999</v>
      </c>
      <c r="I16">
        <v>6.2670067400000002</v>
      </c>
      <c r="J16">
        <v>58.709416279999999</v>
      </c>
      <c r="K16">
        <v>320.79770400000001</v>
      </c>
      <c r="L16">
        <v>423.29510900000002</v>
      </c>
      <c r="M16">
        <v>423.29510900000002</v>
      </c>
      <c r="N16">
        <v>876.44515699999999</v>
      </c>
      <c r="O16">
        <v>995.207358</v>
      </c>
      <c r="P16">
        <v>125.84638870000001</v>
      </c>
      <c r="AI16" t="s">
        <v>747</v>
      </c>
      <c r="AJ16">
        <v>0.40380700000000003</v>
      </c>
      <c r="AK16">
        <v>6.5500000000000003E-2</v>
      </c>
      <c r="AL16" t="s">
        <v>1065</v>
      </c>
      <c r="AM16">
        <v>7</v>
      </c>
    </row>
    <row r="17" spans="1:39">
      <c r="A17" t="s">
        <v>995</v>
      </c>
      <c r="B17">
        <v>0.22310461300000001</v>
      </c>
      <c r="C17">
        <v>4.7396424340000003</v>
      </c>
      <c r="D17">
        <v>369.86998410000001</v>
      </c>
      <c r="E17">
        <v>40.248815380000003</v>
      </c>
      <c r="F17">
        <v>273.90676409999998</v>
      </c>
      <c r="G17">
        <v>10.78440305</v>
      </c>
      <c r="H17">
        <v>0.79234890199999997</v>
      </c>
      <c r="I17">
        <v>4.6143979829999999</v>
      </c>
      <c r="J17">
        <v>54.349985680000003</v>
      </c>
      <c r="K17">
        <v>1046.1503</v>
      </c>
      <c r="L17">
        <v>1412.6690000000001</v>
      </c>
      <c r="M17">
        <v>1273.16859</v>
      </c>
      <c r="N17">
        <v>3815.1950000000002</v>
      </c>
      <c r="O17">
        <v>1318.0667800000001</v>
      </c>
      <c r="P17">
        <v>119.2248439</v>
      </c>
      <c r="AI17" t="s">
        <v>694</v>
      </c>
      <c r="AJ17">
        <v>0.3785</v>
      </c>
      <c r="AK17">
        <v>6.1400000000000003E-2</v>
      </c>
      <c r="AL17" t="s">
        <v>1065</v>
      </c>
      <c r="AM17">
        <v>8</v>
      </c>
    </row>
    <row r="18" spans="1:39">
      <c r="A18" t="s">
        <v>995</v>
      </c>
      <c r="B18">
        <v>0.115757718</v>
      </c>
      <c r="C18">
        <v>31.733607259999999</v>
      </c>
      <c r="D18">
        <v>857.5952115</v>
      </c>
      <c r="E18">
        <v>148.14023359999999</v>
      </c>
      <c r="F18">
        <v>898.15442480000002</v>
      </c>
      <c r="G18">
        <v>48.86805253</v>
      </c>
      <c r="H18">
        <v>2.3687944910000001</v>
      </c>
      <c r="I18">
        <v>4.458248105</v>
      </c>
      <c r="J18">
        <v>42.542110649999998</v>
      </c>
      <c r="K18">
        <v>818.86758699999996</v>
      </c>
      <c r="L18">
        <v>1131.60367</v>
      </c>
      <c r="M18">
        <v>940.63185099999998</v>
      </c>
      <c r="N18">
        <v>1755.2810999999999</v>
      </c>
      <c r="O18">
        <v>1299.8712700000001</v>
      </c>
      <c r="P18">
        <v>128.9635638</v>
      </c>
      <c r="AI18" t="s">
        <v>998</v>
      </c>
      <c r="AJ18">
        <v>0.29013499999999998</v>
      </c>
      <c r="AK18">
        <v>4.7E-2</v>
      </c>
      <c r="AL18" t="s">
        <v>1089</v>
      </c>
      <c r="AM18">
        <v>9</v>
      </c>
    </row>
    <row r="19" spans="1:39">
      <c r="A19" t="s">
        <v>996</v>
      </c>
      <c r="B19">
        <v>0.111111111</v>
      </c>
      <c r="C19">
        <v>2.6875801400000001</v>
      </c>
      <c r="D19">
        <v>1591.9636379999999</v>
      </c>
      <c r="E19">
        <v>114.2928757</v>
      </c>
      <c r="F19">
        <v>1418.278364</v>
      </c>
      <c r="G19">
        <v>53.31951188</v>
      </c>
      <c r="H19">
        <v>3.10930398</v>
      </c>
      <c r="I19">
        <v>2.294747697</v>
      </c>
      <c r="J19">
        <v>144</v>
      </c>
      <c r="K19">
        <v>893.459383</v>
      </c>
      <c r="L19">
        <v>549.98876399999995</v>
      </c>
      <c r="M19">
        <v>1234.6830299999999</v>
      </c>
      <c r="N19">
        <v>416.81353999999999</v>
      </c>
      <c r="O19">
        <v>3573.8375299999998</v>
      </c>
      <c r="P19">
        <v>250.71856220000001</v>
      </c>
      <c r="AI19" t="s">
        <v>786</v>
      </c>
      <c r="AJ19">
        <v>0.20203699999999999</v>
      </c>
      <c r="AK19">
        <v>3.2800000000000003E-2</v>
      </c>
      <c r="AL19" t="s">
        <v>1066</v>
      </c>
      <c r="AM19">
        <v>10</v>
      </c>
    </row>
    <row r="20" spans="1:39">
      <c r="A20" t="s">
        <v>996</v>
      </c>
      <c r="B20">
        <v>7.6186223999999997E-2</v>
      </c>
      <c r="C20">
        <v>3.456762334</v>
      </c>
      <c r="D20">
        <v>987.51535339999998</v>
      </c>
      <c r="E20">
        <v>115.1730505</v>
      </c>
      <c r="F20">
        <v>1273.272976</v>
      </c>
      <c r="G20">
        <v>53.730127950000004</v>
      </c>
      <c r="H20">
        <v>2.4868612809999999</v>
      </c>
      <c r="I20">
        <v>4.6754672470000003</v>
      </c>
      <c r="J20">
        <v>58.93254649</v>
      </c>
      <c r="K20">
        <v>1273.27298</v>
      </c>
      <c r="L20">
        <v>554.22425299999998</v>
      </c>
      <c r="M20">
        <v>1215.7740100000001</v>
      </c>
      <c r="N20">
        <v>1364.6601900000001</v>
      </c>
      <c r="O20">
        <v>2666.98261</v>
      </c>
      <c r="P20">
        <v>109.9720203</v>
      </c>
      <c r="AI20" t="s">
        <v>918</v>
      </c>
      <c r="AJ20">
        <v>0.19282299999999999</v>
      </c>
      <c r="AK20">
        <v>3.1300000000000001E-2</v>
      </c>
      <c r="AL20" t="s">
        <v>1066</v>
      </c>
      <c r="AM20">
        <v>11</v>
      </c>
    </row>
    <row r="21" spans="1:39">
      <c r="A21" t="s">
        <v>996</v>
      </c>
      <c r="B21">
        <v>2.7E-2</v>
      </c>
      <c r="C21">
        <v>4.0180007299999998</v>
      </c>
      <c r="D21">
        <v>4423.2675149999995</v>
      </c>
      <c r="E21">
        <v>419.02624070000002</v>
      </c>
      <c r="F21">
        <v>4740.7407409999996</v>
      </c>
      <c r="G21">
        <v>182.3917649</v>
      </c>
      <c r="H21">
        <v>12.21766584</v>
      </c>
      <c r="I21">
        <v>3.2729645629999999</v>
      </c>
      <c r="J21">
        <v>109.3509257</v>
      </c>
      <c r="K21">
        <v>363.58653399999997</v>
      </c>
      <c r="L21">
        <v>417.651253</v>
      </c>
      <c r="M21">
        <v>1016.56609</v>
      </c>
      <c r="N21">
        <v>1919.0212300000001</v>
      </c>
      <c r="O21">
        <v>1670.60501</v>
      </c>
      <c r="P21">
        <v>234.39884050000001</v>
      </c>
      <c r="AI21" t="s">
        <v>731</v>
      </c>
      <c r="AJ21">
        <v>0.15276300000000001</v>
      </c>
      <c r="AK21">
        <v>2.4799999999999999E-2</v>
      </c>
      <c r="AL21" t="s">
        <v>1067</v>
      </c>
      <c r="AM21">
        <v>12</v>
      </c>
    </row>
    <row r="22" spans="1:39">
      <c r="A22" t="s">
        <v>997</v>
      </c>
      <c r="B22">
        <v>6.5554944000000004E-2</v>
      </c>
      <c r="C22">
        <v>4.0542076629999997</v>
      </c>
      <c r="D22">
        <v>869.76685659999998</v>
      </c>
      <c r="E22">
        <v>99.123250369999994</v>
      </c>
      <c r="F22">
        <v>629.39340760000005</v>
      </c>
      <c r="G22">
        <v>35.864507740000001</v>
      </c>
      <c r="H22">
        <v>1.906797436</v>
      </c>
      <c r="I22">
        <v>2.1615496049999998</v>
      </c>
      <c r="J22">
        <v>18.351400439999999</v>
      </c>
      <c r="K22">
        <v>466.096518</v>
      </c>
      <c r="L22">
        <v>322.052391</v>
      </c>
      <c r="M22">
        <v>415.24479000000002</v>
      </c>
      <c r="N22">
        <v>1514.35205</v>
      </c>
      <c r="O22">
        <v>859.77673200000004</v>
      </c>
      <c r="P22">
        <v>59.623875920000003</v>
      </c>
      <c r="AI22" t="s">
        <v>759</v>
      </c>
      <c r="AJ22">
        <v>0.134602</v>
      </c>
      <c r="AK22">
        <v>2.18E-2</v>
      </c>
      <c r="AL22" t="s">
        <v>1067</v>
      </c>
      <c r="AM22">
        <v>13</v>
      </c>
    </row>
    <row r="23" spans="1:39">
      <c r="A23" t="s">
        <v>997</v>
      </c>
      <c r="B23">
        <v>2.1000000000000001E-2</v>
      </c>
      <c r="C23">
        <v>2.9877147960000001</v>
      </c>
      <c r="D23">
        <v>3500.7949870000002</v>
      </c>
      <c r="E23">
        <v>380.952381</v>
      </c>
      <c r="F23">
        <v>5066.5928910000002</v>
      </c>
      <c r="G23">
        <v>251</v>
      </c>
      <c r="H23">
        <v>4.4080284289999998</v>
      </c>
      <c r="I23">
        <v>1.939677037</v>
      </c>
      <c r="J23">
        <v>25.94322455</v>
      </c>
      <c r="K23">
        <v>1287.7343000000001</v>
      </c>
      <c r="L23">
        <v>1174.0563199999999</v>
      </c>
      <c r="M23">
        <v>869.44597099999999</v>
      </c>
      <c r="N23">
        <v>1821.13131</v>
      </c>
      <c r="O23">
        <v>1585.38689</v>
      </c>
      <c r="P23">
        <v>58.240569929999999</v>
      </c>
      <c r="AI23" t="s">
        <v>779</v>
      </c>
      <c r="AJ23">
        <v>0.134602</v>
      </c>
      <c r="AK23">
        <v>2.18E-2</v>
      </c>
      <c r="AL23" t="s">
        <v>1067</v>
      </c>
      <c r="AM23">
        <v>14</v>
      </c>
    </row>
    <row r="24" spans="1:39">
      <c r="C24" t="s">
        <v>1026</v>
      </c>
      <c r="O24" t="s">
        <v>1021</v>
      </c>
      <c r="AI24" t="s">
        <v>797</v>
      </c>
      <c r="AJ24">
        <v>8.9973999999999998E-2</v>
      </c>
      <c r="AK24">
        <v>1.46E-2</v>
      </c>
      <c r="AL24" t="s">
        <v>1067</v>
      </c>
      <c r="AM24">
        <v>15</v>
      </c>
    </row>
    <row r="25" spans="1:39">
      <c r="C25" t="s">
        <v>1008</v>
      </c>
      <c r="I25" t="s">
        <v>1007</v>
      </c>
      <c r="K25" t="s">
        <v>1008</v>
      </c>
      <c r="O25" t="s">
        <v>1022</v>
      </c>
      <c r="P25">
        <v>5.6</v>
      </c>
      <c r="AI25" t="s">
        <v>763</v>
      </c>
      <c r="AJ25">
        <v>7.6382000000000005E-2</v>
      </c>
      <c r="AK25">
        <v>1.24E-2</v>
      </c>
      <c r="AM25">
        <v>16</v>
      </c>
    </row>
    <row r="26" spans="1:39">
      <c r="A26" t="s">
        <v>999</v>
      </c>
      <c r="C26" t="s">
        <v>1027</v>
      </c>
      <c r="K26" t="s">
        <v>1009</v>
      </c>
      <c r="O26" t="s">
        <v>1023</v>
      </c>
      <c r="P26">
        <v>3</v>
      </c>
      <c r="AI26" t="s">
        <v>928</v>
      </c>
      <c r="AJ26">
        <v>0</v>
      </c>
      <c r="AK26">
        <v>0</v>
      </c>
      <c r="AM26">
        <v>17</v>
      </c>
    </row>
    <row r="27" spans="1:39">
      <c r="C27" t="s">
        <v>1028</v>
      </c>
      <c r="K27" t="s">
        <v>1010</v>
      </c>
      <c r="O27" t="s">
        <v>1024</v>
      </c>
      <c r="P27">
        <v>3.6</v>
      </c>
    </row>
    <row r="28" spans="1:39">
      <c r="A28">
        <v>83.596205750277704</v>
      </c>
      <c r="C28" t="s">
        <v>1029</v>
      </c>
      <c r="E28" t="s">
        <v>1030</v>
      </c>
      <c r="O28" t="s">
        <v>1025</v>
      </c>
    </row>
    <row r="29" spans="1:39">
      <c r="A29">
        <v>94.345307213815403</v>
      </c>
      <c r="B29">
        <v>85.841439872413105</v>
      </c>
      <c r="I29" t="s">
        <v>1013</v>
      </c>
      <c r="M29" t="s">
        <v>1016</v>
      </c>
    </row>
    <row r="30" spans="1:39">
      <c r="A30">
        <v>89.930166507481601</v>
      </c>
      <c r="B30">
        <v>89.265758832998202</v>
      </c>
      <c r="C30">
        <v>93.842549773777606</v>
      </c>
      <c r="I30" t="s">
        <v>1014</v>
      </c>
      <c r="K30" t="s">
        <v>1017</v>
      </c>
      <c r="M30" t="s">
        <v>1019</v>
      </c>
    </row>
    <row r="31" spans="1:39">
      <c r="A31">
        <v>84.181369229064401</v>
      </c>
      <c r="B31">
        <v>96.312577815240601</v>
      </c>
      <c r="C31">
        <v>86.6644830945786</v>
      </c>
      <c r="D31">
        <v>90.4576003069199</v>
      </c>
      <c r="I31" t="s">
        <v>1015</v>
      </c>
      <c r="K31" t="s">
        <v>1018</v>
      </c>
      <c r="M31" t="s">
        <v>1020</v>
      </c>
    </row>
    <row r="32" spans="1:39">
      <c r="A32">
        <v>90.417689475494996</v>
      </c>
      <c r="B32">
        <v>90.7722122583302</v>
      </c>
      <c r="C32">
        <v>93.611893004929996</v>
      </c>
      <c r="D32">
        <v>95.538579448895405</v>
      </c>
      <c r="E32">
        <v>91.839494673789503</v>
      </c>
    </row>
    <row r="33" spans="1:33">
      <c r="A33">
        <v>85.618035563068702</v>
      </c>
      <c r="B33">
        <v>92.205122018108696</v>
      </c>
      <c r="C33">
        <v>88.829978932916603</v>
      </c>
      <c r="D33">
        <v>93.871702409779502</v>
      </c>
      <c r="E33">
        <v>92.544670827096397</v>
      </c>
      <c r="F33">
        <v>93.821642312675706</v>
      </c>
    </row>
    <row r="34" spans="1:33">
      <c r="A34">
        <v>89.947999268984404</v>
      </c>
      <c r="B34">
        <v>91.366117953588898</v>
      </c>
      <c r="C34">
        <v>92.957549776984095</v>
      </c>
      <c r="D34">
        <v>94.650608039039994</v>
      </c>
      <c r="E34">
        <v>92.127096431341798</v>
      </c>
      <c r="F34">
        <v>96.203340769764907</v>
      </c>
      <c r="G34">
        <v>95.464946062965097</v>
      </c>
      <c r="K34" t="s">
        <v>826</v>
      </c>
      <c r="L34" s="5">
        <v>0.5</v>
      </c>
      <c r="M34" t="s">
        <v>250</v>
      </c>
      <c r="O34" t="s">
        <v>289</v>
      </c>
    </row>
    <row r="35" spans="1:33">
      <c r="A35">
        <v>89.045441710992307</v>
      </c>
      <c r="B35">
        <v>86.082547163522094</v>
      </c>
      <c r="C35">
        <v>92.3648224642386</v>
      </c>
      <c r="D35">
        <v>92.691072072729597</v>
      </c>
      <c r="E35">
        <v>88.192165765099404</v>
      </c>
      <c r="F35">
        <v>93.002903939561506</v>
      </c>
      <c r="G35">
        <v>91.845233439074207</v>
      </c>
      <c r="H35">
        <v>92.344929512543501</v>
      </c>
      <c r="K35" t="s">
        <v>635</v>
      </c>
      <c r="L35" s="5">
        <v>0.5</v>
      </c>
      <c r="M35">
        <v>6</v>
      </c>
      <c r="N35">
        <v>2</v>
      </c>
      <c r="O35">
        <v>1</v>
      </c>
      <c r="P35">
        <v>2</v>
      </c>
    </row>
    <row r="36" spans="1:33">
      <c r="A36">
        <v>87.308065585371097</v>
      </c>
      <c r="B36">
        <v>84.359601258618397</v>
      </c>
      <c r="C36">
        <v>89.575160005567099</v>
      </c>
      <c r="D36">
        <v>91.116399644773693</v>
      </c>
      <c r="E36">
        <v>86.672929249004696</v>
      </c>
      <c r="F36">
        <v>90.822330989986199</v>
      </c>
      <c r="G36">
        <v>89.9737563331622</v>
      </c>
      <c r="H36">
        <v>90.100654285663794</v>
      </c>
      <c r="I36">
        <v>96.715826469508499</v>
      </c>
      <c r="M36">
        <v>12</v>
      </c>
      <c r="N36">
        <v>2</v>
      </c>
      <c r="O36">
        <v>2</v>
      </c>
      <c r="P36">
        <v>1</v>
      </c>
    </row>
    <row r="37" spans="1:33">
      <c r="A37">
        <v>84.036770549555897</v>
      </c>
      <c r="B37">
        <v>92.8403409281932</v>
      </c>
      <c r="C37">
        <v>87.441380438156799</v>
      </c>
      <c r="D37">
        <v>92.2223752421271</v>
      </c>
      <c r="E37">
        <v>94.303668137429199</v>
      </c>
      <c r="F37">
        <v>92.282453714434695</v>
      </c>
      <c r="G37">
        <v>96.405652076404195</v>
      </c>
      <c r="H37">
        <v>94.101102443290799</v>
      </c>
      <c r="I37">
        <v>92.583950425693502</v>
      </c>
      <c r="J37">
        <v>91.056392295507806</v>
      </c>
      <c r="M37">
        <v>24</v>
      </c>
      <c r="N37">
        <v>1</v>
      </c>
      <c r="O37">
        <v>3</v>
      </c>
      <c r="P37">
        <v>0</v>
      </c>
    </row>
    <row r="38" spans="1:33">
      <c r="A38">
        <v>86.980774696589407</v>
      </c>
      <c r="B38">
        <v>92.436618593783294</v>
      </c>
      <c r="C38">
        <v>89.396945541316896</v>
      </c>
      <c r="D38">
        <v>93.458819558183507</v>
      </c>
      <c r="E38">
        <v>92.652773457656593</v>
      </c>
      <c r="F38">
        <v>94.775099435917994</v>
      </c>
      <c r="G38">
        <v>96.684125907520794</v>
      </c>
      <c r="H38">
        <v>95.836155920844405</v>
      </c>
      <c r="I38">
        <v>90.850446921511207</v>
      </c>
      <c r="J38">
        <v>89.125999690461597</v>
      </c>
      <c r="K38">
        <v>95.239950676069498</v>
      </c>
      <c r="M38">
        <v>48</v>
      </c>
      <c r="N38">
        <v>1</v>
      </c>
      <c r="O38">
        <v>4</v>
      </c>
      <c r="P38">
        <v>0</v>
      </c>
    </row>
    <row r="39" spans="1:33">
      <c r="A39">
        <v>81.525088445034697</v>
      </c>
      <c r="B39">
        <v>95.086144049807402</v>
      </c>
      <c r="C39">
        <v>84.543917231790104</v>
      </c>
      <c r="D39">
        <v>88.346863708822099</v>
      </c>
      <c r="E39">
        <v>95.002445879186794</v>
      </c>
      <c r="F39">
        <v>89.356575293971403</v>
      </c>
      <c r="G39">
        <v>93.615343943673096</v>
      </c>
      <c r="H39">
        <v>91.163209690289307</v>
      </c>
      <c r="I39">
        <v>88.200384849840205</v>
      </c>
      <c r="J39">
        <v>87.242004292396203</v>
      </c>
      <c r="K39">
        <v>94.715228347740506</v>
      </c>
      <c r="L39">
        <v>93.991326754143699</v>
      </c>
      <c r="O39">
        <v>5</v>
      </c>
      <c r="P39">
        <v>1</v>
      </c>
    </row>
    <row r="40" spans="1:33">
      <c r="A40">
        <v>86.751223548761601</v>
      </c>
      <c r="B40">
        <v>89.012497149461396</v>
      </c>
      <c r="C40">
        <v>87.460169843543994</v>
      </c>
      <c r="D40">
        <v>90.9274533028794</v>
      </c>
      <c r="E40">
        <v>90.1786672093032</v>
      </c>
      <c r="F40">
        <v>92.082738345438798</v>
      </c>
      <c r="G40">
        <v>93.556850951012606</v>
      </c>
      <c r="H40">
        <v>93.467880164338396</v>
      </c>
      <c r="I40">
        <v>93.173507235314702</v>
      </c>
      <c r="J40">
        <v>92.302297473979394</v>
      </c>
      <c r="K40">
        <v>94.722208132155103</v>
      </c>
      <c r="L40">
        <v>92.902405715697896</v>
      </c>
      <c r="M40">
        <v>90.321077133798397</v>
      </c>
      <c r="O40">
        <v>6</v>
      </c>
      <c r="P40">
        <v>2</v>
      </c>
      <c r="AA40" t="s">
        <v>1057</v>
      </c>
      <c r="AC40" t="s">
        <v>1058</v>
      </c>
    </row>
    <row r="41" spans="1:33">
      <c r="A41">
        <v>81.825615051174395</v>
      </c>
      <c r="B41">
        <v>92.833370144199307</v>
      </c>
      <c r="C41">
        <v>85.458371553537006</v>
      </c>
      <c r="D41">
        <v>90.818691827434293</v>
      </c>
      <c r="E41">
        <v>94.094294857183201</v>
      </c>
      <c r="F41">
        <v>90.214990407431301</v>
      </c>
      <c r="G41">
        <v>94.986925073184693</v>
      </c>
      <c r="H41">
        <v>92.056777010878406</v>
      </c>
      <c r="I41">
        <v>90.700765559442701</v>
      </c>
      <c r="J41">
        <v>90.329123648517694</v>
      </c>
      <c r="K41">
        <v>97.385424113127797</v>
      </c>
      <c r="L41">
        <v>93.306729008194097</v>
      </c>
      <c r="M41">
        <v>95.088742575625901</v>
      </c>
      <c r="N41">
        <v>93.199450904601804</v>
      </c>
      <c r="AC41" t="s">
        <v>1059</v>
      </c>
      <c r="AE41" t="s">
        <v>1054</v>
      </c>
      <c r="AF41">
        <v>-1.91</v>
      </c>
      <c r="AG41" t="s">
        <v>1055</v>
      </c>
    </row>
    <row r="42" spans="1:33">
      <c r="A42">
        <v>91.928797320930997</v>
      </c>
      <c r="B42">
        <v>86.1405144627184</v>
      </c>
      <c r="C42">
        <v>93.576358901050497</v>
      </c>
      <c r="D42">
        <v>94.078347738699705</v>
      </c>
      <c r="E42">
        <v>87.823046146223106</v>
      </c>
      <c r="F42">
        <v>93.390956471181596</v>
      </c>
      <c r="G42">
        <v>90.1434907780489</v>
      </c>
      <c r="H42">
        <v>92.404783881175504</v>
      </c>
      <c r="I42">
        <v>94.953661616481199</v>
      </c>
      <c r="J42">
        <v>94.278097647962497</v>
      </c>
      <c r="K42">
        <v>89.902587143588605</v>
      </c>
      <c r="L42">
        <v>89.894155798162203</v>
      </c>
      <c r="M42">
        <v>85.398673051945906</v>
      </c>
      <c r="N42">
        <v>89.040453854478997</v>
      </c>
      <c r="O42">
        <v>88.024666177545399</v>
      </c>
    </row>
    <row r="43" spans="1:33">
      <c r="A43">
        <v>89.161088913626102</v>
      </c>
      <c r="B43">
        <v>90.879768283151805</v>
      </c>
      <c r="C43">
        <v>92.116638358481694</v>
      </c>
      <c r="D43">
        <v>94.579364866175496</v>
      </c>
      <c r="E43">
        <v>91.988600062397396</v>
      </c>
      <c r="F43">
        <v>96.401361196287993</v>
      </c>
      <c r="G43">
        <v>95.391815102136107</v>
      </c>
      <c r="H43">
        <v>97.707088074622305</v>
      </c>
      <c r="I43">
        <v>93.672881190868907</v>
      </c>
      <c r="J43">
        <v>91.991813609804296</v>
      </c>
      <c r="K43">
        <v>94.535842264876393</v>
      </c>
      <c r="L43">
        <v>95.907364890295696</v>
      </c>
      <c r="M43">
        <v>91.212836969686606</v>
      </c>
      <c r="N43">
        <v>93.782619878673302</v>
      </c>
      <c r="O43">
        <v>92.399320649380002</v>
      </c>
      <c r="P43">
        <v>93.504539679176602</v>
      </c>
    </row>
    <row r="44" spans="1:33">
      <c r="A44">
        <v>84.209622645490498</v>
      </c>
      <c r="B44">
        <v>88.284819622070998</v>
      </c>
      <c r="C44">
        <v>88.177117771322401</v>
      </c>
      <c r="D44">
        <v>93.487258934212093</v>
      </c>
      <c r="E44">
        <v>88.924523098975001</v>
      </c>
      <c r="F44">
        <v>91.871631752050007</v>
      </c>
      <c r="G44">
        <v>94.926045429163594</v>
      </c>
      <c r="H44">
        <v>93.115926450302297</v>
      </c>
      <c r="I44">
        <v>90.077822259182298</v>
      </c>
      <c r="J44">
        <v>89.731821088129095</v>
      </c>
      <c r="K44">
        <v>93.259191035179896</v>
      </c>
      <c r="L44">
        <v>93.688803746286993</v>
      </c>
      <c r="M44">
        <v>90.091462368494703</v>
      </c>
      <c r="N44">
        <v>91.109580991898198</v>
      </c>
      <c r="O44">
        <v>91.855262845253506</v>
      </c>
      <c r="P44">
        <v>90.281003332621097</v>
      </c>
      <c r="Q44">
        <v>93.319979948217494</v>
      </c>
    </row>
    <row r="45" spans="1:33">
      <c r="A45">
        <v>87.661267252970802</v>
      </c>
      <c r="B45">
        <v>89.924471396324194</v>
      </c>
      <c r="C45">
        <v>91.049255800965895</v>
      </c>
      <c r="D45">
        <v>95.479350705175094</v>
      </c>
      <c r="E45">
        <v>90.771857400504999</v>
      </c>
      <c r="F45">
        <v>94.892169937038304</v>
      </c>
      <c r="G45">
        <v>94.838287717549804</v>
      </c>
      <c r="H45">
        <v>95.908560248637002</v>
      </c>
      <c r="I45">
        <v>92.767615467285395</v>
      </c>
      <c r="J45">
        <v>92.403862240373002</v>
      </c>
      <c r="K45">
        <v>94.860788431483698</v>
      </c>
      <c r="L45">
        <v>94.041474289102993</v>
      </c>
      <c r="M45">
        <v>90.394199817285894</v>
      </c>
      <c r="N45">
        <v>93.5839868847914</v>
      </c>
      <c r="O45">
        <v>93.003849303791299</v>
      </c>
      <c r="P45">
        <v>93.392881826985899</v>
      </c>
      <c r="Q45">
        <v>95.995999034150103</v>
      </c>
      <c r="R45">
        <v>96.472452526386505</v>
      </c>
    </row>
    <row r="46" spans="1:33">
      <c r="A46">
        <v>81.230570038553793</v>
      </c>
      <c r="B46">
        <v>92.942403291672306</v>
      </c>
      <c r="C46">
        <v>84.321338600197393</v>
      </c>
      <c r="D46">
        <v>89.257194644295396</v>
      </c>
      <c r="E46">
        <v>94.299671809080195</v>
      </c>
      <c r="F46">
        <v>89.089534865810805</v>
      </c>
      <c r="G46">
        <v>92.6608329952155</v>
      </c>
      <c r="H46">
        <v>90.786076369069903</v>
      </c>
      <c r="I46">
        <v>88.709763669628998</v>
      </c>
      <c r="J46">
        <v>88.966171235078605</v>
      </c>
      <c r="K46">
        <v>94.725521683541004</v>
      </c>
      <c r="L46">
        <v>90.779704385650405</v>
      </c>
      <c r="M46">
        <v>94.183914499820204</v>
      </c>
      <c r="N46">
        <v>89.820733912991003</v>
      </c>
      <c r="O46">
        <v>95.905662174424705</v>
      </c>
      <c r="P46">
        <v>87.785588649717596</v>
      </c>
      <c r="Q46">
        <v>91.398922884545101</v>
      </c>
      <c r="R46">
        <v>92.976758292481193</v>
      </c>
      <c r="S46">
        <v>92.667344482747197</v>
      </c>
    </row>
    <row r="47" spans="1:33">
      <c r="A47">
        <v>86.341266732783197</v>
      </c>
      <c r="B47">
        <v>87.588466760657298</v>
      </c>
      <c r="C47">
        <v>88.746151025439502</v>
      </c>
      <c r="D47">
        <v>90.944474838560893</v>
      </c>
      <c r="E47">
        <v>89.025349536738801</v>
      </c>
      <c r="F47">
        <v>93.080558951149399</v>
      </c>
      <c r="G47">
        <v>92.149612932321105</v>
      </c>
      <c r="H47">
        <v>92.658428052196896</v>
      </c>
      <c r="I47">
        <v>95.258252690012796</v>
      </c>
      <c r="J47">
        <v>95.523722802149905</v>
      </c>
      <c r="K47">
        <v>93.266616737182105</v>
      </c>
      <c r="L47">
        <v>91.485630092348003</v>
      </c>
      <c r="M47">
        <v>89.242212220181798</v>
      </c>
      <c r="N47">
        <v>96.100058395004496</v>
      </c>
      <c r="O47">
        <v>91.930990679364996</v>
      </c>
      <c r="P47">
        <v>91.271662084879793</v>
      </c>
      <c r="Q47">
        <v>93.848669302193201</v>
      </c>
      <c r="R47">
        <v>91.876885438501205</v>
      </c>
      <c r="S47">
        <v>94.228391367983406</v>
      </c>
      <c r="T47">
        <v>90.198692869581706</v>
      </c>
    </row>
    <row r="48" spans="1:33">
      <c r="A48">
        <v>84.363278787402095</v>
      </c>
      <c r="B48">
        <v>94.314316445916006</v>
      </c>
      <c r="C48">
        <v>86.597400359668498</v>
      </c>
      <c r="D48">
        <v>90.013106290064002</v>
      </c>
      <c r="E48">
        <v>94.593543726560796</v>
      </c>
      <c r="F48">
        <v>90.995118989713106</v>
      </c>
      <c r="G48">
        <v>92.577287902657005</v>
      </c>
      <c r="H48">
        <v>92.612794952225499</v>
      </c>
      <c r="I48">
        <v>88.462035949739402</v>
      </c>
      <c r="J48">
        <v>88.133280511657702</v>
      </c>
      <c r="K48">
        <v>94.499959582936597</v>
      </c>
      <c r="L48">
        <v>92.427269596283395</v>
      </c>
      <c r="M48">
        <v>94.019211730278002</v>
      </c>
      <c r="N48">
        <v>90.7655014787086</v>
      </c>
      <c r="O48">
        <v>93.561323774749198</v>
      </c>
      <c r="P48">
        <v>88.915083404105602</v>
      </c>
      <c r="Q48">
        <v>92.555949163666696</v>
      </c>
      <c r="R48">
        <v>91.731006937711896</v>
      </c>
      <c r="S48">
        <v>93.247994923973494</v>
      </c>
      <c r="T48">
        <v>95.070049942040001</v>
      </c>
      <c r="U48">
        <v>91.498610976646802</v>
      </c>
    </row>
    <row r="49" spans="14:24">
      <c r="Q49" t="s">
        <v>1068</v>
      </c>
    </row>
    <row r="50" spans="14:24">
      <c r="P50" t="s">
        <v>1061</v>
      </c>
      <c r="Q50" t="s">
        <v>1062</v>
      </c>
      <c r="R50" t="s">
        <v>1063</v>
      </c>
      <c r="T50" t="s">
        <v>1064</v>
      </c>
    </row>
    <row r="51" spans="14:24">
      <c r="P51">
        <v>1</v>
      </c>
      <c r="Q51">
        <v>5.8334999999999999</v>
      </c>
      <c r="R51">
        <v>38.89</v>
      </c>
      <c r="S51" t="s">
        <v>1065</v>
      </c>
      <c r="T51">
        <v>38.89</v>
      </c>
      <c r="V51" t="s">
        <v>1069</v>
      </c>
      <c r="W51" t="s">
        <v>1070</v>
      </c>
      <c r="X51" t="s">
        <v>1071</v>
      </c>
    </row>
    <row r="52" spans="14:24">
      <c r="P52">
        <v>2</v>
      </c>
      <c r="Q52">
        <v>3.3311000000000002</v>
      </c>
      <c r="R52">
        <v>22.207999999999998</v>
      </c>
      <c r="S52" t="s">
        <v>1066</v>
      </c>
      <c r="T52">
        <v>61.097999999999999</v>
      </c>
      <c r="U52" t="s">
        <v>1032</v>
      </c>
      <c r="V52">
        <v>-0.33849000000000001</v>
      </c>
      <c r="W52">
        <v>0.13855000000000001</v>
      </c>
      <c r="X52">
        <v>-4.6269999999999999E-2</v>
      </c>
    </row>
    <row r="53" spans="14:24">
      <c r="P53">
        <v>3</v>
      </c>
      <c r="Q53">
        <v>2.1869999999999998</v>
      </c>
      <c r="R53">
        <v>14.58</v>
      </c>
      <c r="S53" t="s">
        <v>1067</v>
      </c>
      <c r="T53">
        <v>75.677000000000007</v>
      </c>
      <c r="U53" t="s">
        <v>1033</v>
      </c>
      <c r="V53" s="41">
        <v>0.36491000000000001</v>
      </c>
      <c r="W53">
        <v>0.20921000000000001</v>
      </c>
      <c r="X53">
        <v>4.0689999999999997E-2</v>
      </c>
    </row>
    <row r="54" spans="14:24">
      <c r="P54">
        <v>4</v>
      </c>
      <c r="Q54">
        <v>1.0732999999999999</v>
      </c>
      <c r="R54">
        <v>7.1550000000000002</v>
      </c>
      <c r="T54">
        <v>82.831999999999994</v>
      </c>
      <c r="U54" t="s">
        <v>1034</v>
      </c>
      <c r="V54" s="41">
        <v>0.37198999999999999</v>
      </c>
      <c r="W54">
        <v>0.21722</v>
      </c>
      <c r="X54">
        <v>-3.8999999999999999E-4</v>
      </c>
    </row>
    <row r="55" spans="14:24">
      <c r="P55">
        <v>5</v>
      </c>
      <c r="Q55">
        <v>0.79869999999999997</v>
      </c>
      <c r="R55">
        <v>5.3250000000000002</v>
      </c>
      <c r="T55">
        <v>88.156999999999996</v>
      </c>
      <c r="U55" t="s">
        <v>1035</v>
      </c>
      <c r="V55" s="41">
        <v>0.34813</v>
      </c>
      <c r="W55">
        <v>0.2208</v>
      </c>
      <c r="X55">
        <v>4.6179999999999999E-2</v>
      </c>
    </row>
    <row r="56" spans="14:24">
      <c r="N56" t="s">
        <v>1011</v>
      </c>
      <c r="P56">
        <v>6</v>
      </c>
      <c r="Q56">
        <v>0.77569999999999995</v>
      </c>
      <c r="R56">
        <v>5.1719999999999997</v>
      </c>
      <c r="T56">
        <v>93.328999999999994</v>
      </c>
      <c r="U56" t="s">
        <v>1036</v>
      </c>
      <c r="V56" s="41">
        <v>0.33855000000000002</v>
      </c>
      <c r="W56">
        <v>0.26711000000000001</v>
      </c>
      <c r="X56">
        <v>5.3670000000000002E-2</v>
      </c>
    </row>
    <row r="57" spans="14:24">
      <c r="N57" t="s">
        <v>1000</v>
      </c>
      <c r="P57">
        <v>7</v>
      </c>
      <c r="Q57">
        <v>0.35039999999999999</v>
      </c>
      <c r="R57">
        <v>2.3359999999999999</v>
      </c>
      <c r="T57">
        <v>95.665000000000006</v>
      </c>
      <c r="U57" t="s">
        <v>1037</v>
      </c>
      <c r="V57" s="41">
        <v>0.35099000000000002</v>
      </c>
      <c r="W57">
        <v>0.23608000000000001</v>
      </c>
      <c r="X57">
        <v>7.5209999999999999E-2</v>
      </c>
    </row>
    <row r="58" spans="14:24">
      <c r="P58">
        <v>8</v>
      </c>
      <c r="Q58">
        <v>0.20130000000000001</v>
      </c>
      <c r="R58">
        <v>1.3420000000000001</v>
      </c>
      <c r="T58">
        <v>97.006</v>
      </c>
      <c r="U58" t="s">
        <v>1038</v>
      </c>
      <c r="V58">
        <v>-0.18314</v>
      </c>
      <c r="W58">
        <v>0.32719999999999999</v>
      </c>
      <c r="X58">
        <v>-0.15049999999999999</v>
      </c>
    </row>
    <row r="59" spans="14:24">
      <c r="P59">
        <v>9</v>
      </c>
      <c r="Q59">
        <v>0.16259999999999999</v>
      </c>
      <c r="R59">
        <v>1.0840000000000001</v>
      </c>
      <c r="T59">
        <v>98.09</v>
      </c>
      <c r="U59" t="s">
        <v>1039</v>
      </c>
      <c r="V59">
        <v>-3.039E-2</v>
      </c>
      <c r="W59">
        <v>0.32106000000000001</v>
      </c>
      <c r="X59">
        <v>-5.2970000000000003E-2</v>
      </c>
    </row>
    <row r="60" spans="14:24">
      <c r="N60" t="s">
        <v>1005</v>
      </c>
      <c r="P60">
        <v>10</v>
      </c>
      <c r="Q60">
        <v>0.1331</v>
      </c>
      <c r="R60">
        <v>0.88700000000000001</v>
      </c>
      <c r="T60">
        <v>98.977999999999994</v>
      </c>
      <c r="U60" t="s">
        <v>1040</v>
      </c>
      <c r="V60">
        <v>2.0799999999999999E-2</v>
      </c>
      <c r="W60">
        <v>-0.12127</v>
      </c>
      <c r="X60">
        <v>0.57132000000000005</v>
      </c>
    </row>
    <row r="61" spans="14:24">
      <c r="N61" t="s">
        <v>1006</v>
      </c>
      <c r="P61">
        <v>11</v>
      </c>
      <c r="Q61">
        <v>8.2500000000000004E-2</v>
      </c>
      <c r="R61">
        <v>0.55000000000000004</v>
      </c>
      <c r="T61">
        <v>99.528000000000006</v>
      </c>
      <c r="U61" t="s">
        <v>1041</v>
      </c>
      <c r="V61">
        <v>4.6300000000000001E-2</v>
      </c>
      <c r="W61">
        <v>-0.21593999999999999</v>
      </c>
      <c r="X61">
        <v>0.55318999999999996</v>
      </c>
    </row>
    <row r="62" spans="14:24">
      <c r="P62">
        <v>12</v>
      </c>
      <c r="Q62">
        <v>4.2500000000000003E-2</v>
      </c>
      <c r="R62">
        <v>0.28299999999999997</v>
      </c>
      <c r="T62">
        <v>99.811000000000007</v>
      </c>
      <c r="U62" t="s">
        <v>1042</v>
      </c>
      <c r="V62">
        <v>-0.22833999999999999</v>
      </c>
      <c r="W62">
        <v>0.13825999999999999</v>
      </c>
      <c r="X62">
        <v>0.43536000000000002</v>
      </c>
    </row>
    <row r="63" spans="14:24">
      <c r="P63">
        <v>13</v>
      </c>
      <c r="Q63">
        <v>2.0500000000000001E-2</v>
      </c>
      <c r="R63">
        <v>0.13700000000000001</v>
      </c>
      <c r="T63">
        <v>99.947999999999993</v>
      </c>
      <c r="U63" t="s">
        <v>1043</v>
      </c>
      <c r="V63">
        <v>-0.22305</v>
      </c>
      <c r="W63" s="41">
        <v>0.38120999999999999</v>
      </c>
      <c r="X63">
        <v>0.25672</v>
      </c>
    </row>
    <row r="64" spans="14:24">
      <c r="P64">
        <v>14</v>
      </c>
      <c r="Q64">
        <v>5.1000000000000004E-3</v>
      </c>
      <c r="R64">
        <v>3.4000000000000002E-2</v>
      </c>
      <c r="T64">
        <v>99.981999999999999</v>
      </c>
      <c r="U64" t="s">
        <v>1044</v>
      </c>
      <c r="V64">
        <v>-0.14671000000000001</v>
      </c>
      <c r="W64" s="41">
        <v>0.39012999999999998</v>
      </c>
      <c r="X64">
        <v>0.12064</v>
      </c>
    </row>
    <row r="65" spans="14:24">
      <c r="N65" t="s">
        <v>1012</v>
      </c>
      <c r="P65">
        <v>15</v>
      </c>
      <c r="Q65">
        <v>2.5999999999999999E-3</v>
      </c>
      <c r="R65">
        <v>1.7999999999999999E-2</v>
      </c>
      <c r="T65">
        <v>100</v>
      </c>
      <c r="U65" t="s">
        <v>1045</v>
      </c>
      <c r="V65">
        <v>-0.26144000000000001</v>
      </c>
      <c r="W65" s="41">
        <v>0.34294000000000002</v>
      </c>
      <c r="X65">
        <v>7.671E-2</v>
      </c>
    </row>
    <row r="66" spans="14:24">
      <c r="U66" t="s">
        <v>1046</v>
      </c>
      <c r="V66">
        <v>-0.1615</v>
      </c>
      <c r="W66">
        <v>9.1139999999999999E-2</v>
      </c>
      <c r="X66">
        <v>-0.22752</v>
      </c>
    </row>
    <row r="68" spans="14:24">
      <c r="P68" t="s">
        <v>1060</v>
      </c>
    </row>
    <row r="75" spans="14:24">
      <c r="P75" t="s">
        <v>1060</v>
      </c>
    </row>
    <row r="95" spans="15:15">
      <c r="O95" t="s">
        <v>658</v>
      </c>
    </row>
    <row r="96" spans="15:15">
      <c r="O96" t="s">
        <v>1001</v>
      </c>
    </row>
    <row r="97" spans="15:15">
      <c r="O97" t="s">
        <v>1002</v>
      </c>
    </row>
    <row r="98" spans="15:15">
      <c r="O98" t="s">
        <v>1003</v>
      </c>
    </row>
    <row r="99" spans="15:15">
      <c r="O99" t="s">
        <v>1004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57"/>
  <sheetViews>
    <sheetView workbookViewId="0">
      <pane xSplit="1" topLeftCell="B1" activePane="topRight" state="frozen"/>
      <selection pane="topRight" activeCell="AM99" sqref="AM99"/>
    </sheetView>
  </sheetViews>
  <sheetFormatPr baseColWidth="10" defaultRowHeight="13" x14ac:dyDescent="0"/>
  <cols>
    <col min="1" max="1" width="8.5703125" customWidth="1"/>
    <col min="2" max="2" width="4.28515625" customWidth="1"/>
    <col min="3" max="3" width="7.85546875" customWidth="1"/>
    <col min="4" max="4" width="4.42578125" customWidth="1"/>
    <col min="5" max="5" width="9.42578125" customWidth="1"/>
    <col min="6" max="6" width="8.140625" customWidth="1"/>
    <col min="7" max="7" width="12.5703125" customWidth="1"/>
    <col min="8" max="9" width="7.5703125" customWidth="1"/>
    <col min="10" max="10" width="9.7109375" customWidth="1"/>
    <col min="11" max="11" width="6.85546875" customWidth="1"/>
    <col min="12" max="12" width="6.7109375" customWidth="1"/>
    <col min="13" max="13" width="7.7109375" customWidth="1"/>
    <col min="15" max="15" width="12.85546875" customWidth="1"/>
    <col min="16" max="16" width="6.85546875" customWidth="1"/>
    <col min="17" max="17" width="11.5703125" customWidth="1"/>
    <col min="18" max="18" width="9.140625" customWidth="1"/>
    <col min="19" max="19" width="18.7109375" bestFit="1" customWidth="1"/>
    <col min="20" max="20" width="22.5703125" bestFit="1" customWidth="1"/>
    <col min="21" max="21" width="9.28515625" customWidth="1"/>
    <col min="22" max="22" width="7.140625" customWidth="1"/>
    <col min="23" max="23" width="6.85546875" customWidth="1"/>
    <col min="24" max="24" width="9.140625" customWidth="1"/>
    <col min="25" max="27" width="7.5703125" customWidth="1"/>
    <col min="28" max="29" width="12.28515625" customWidth="1"/>
    <col min="30" max="30" width="10.5703125" customWidth="1"/>
    <col min="31" max="31" width="9.28515625" customWidth="1"/>
    <col min="32" max="32" width="10.5703125" customWidth="1"/>
    <col min="33" max="33" width="7.85546875" customWidth="1"/>
    <col min="34" max="34" width="10.7109375" customWidth="1"/>
    <col min="35" max="35" width="15" bestFit="1" customWidth="1"/>
    <col min="41" max="41" width="6.7109375" customWidth="1"/>
    <col min="44" max="44" width="13.28515625" bestFit="1" customWidth="1"/>
    <col min="46" max="46" width="6.7109375" customWidth="1"/>
    <col min="47" max="47" width="7.28515625" customWidth="1"/>
    <col min="49" max="49" width="6.7109375" bestFit="1" customWidth="1"/>
    <col min="50" max="50" width="4" bestFit="1" customWidth="1"/>
  </cols>
  <sheetData>
    <row r="1" spans="1:49">
      <c r="A1" t="s">
        <v>105</v>
      </c>
      <c r="B1" t="s">
        <v>152</v>
      </c>
      <c r="C1" t="s">
        <v>247</v>
      </c>
      <c r="D1" t="s">
        <v>289</v>
      </c>
      <c r="E1" t="s">
        <v>259</v>
      </c>
      <c r="F1" t="s">
        <v>260</v>
      </c>
      <c r="G1" t="s">
        <v>66</v>
      </c>
      <c r="H1" t="s">
        <v>67</v>
      </c>
      <c r="I1" t="s">
        <v>68</v>
      </c>
      <c r="J1" t="s">
        <v>518</v>
      </c>
      <c r="K1" t="s">
        <v>67</v>
      </c>
      <c r="L1" t="s">
        <v>68</v>
      </c>
      <c r="M1" t="s">
        <v>519</v>
      </c>
      <c r="N1" t="s">
        <v>12</v>
      </c>
      <c r="P1" t="s">
        <v>106</v>
      </c>
      <c r="Q1" t="s">
        <v>270</v>
      </c>
      <c r="R1" t="s">
        <v>142</v>
      </c>
      <c r="S1" t="s">
        <v>407</v>
      </c>
      <c r="T1" t="s">
        <v>115</v>
      </c>
      <c r="U1" t="s">
        <v>271</v>
      </c>
      <c r="V1" t="s">
        <v>67</v>
      </c>
      <c r="W1" t="s">
        <v>68</v>
      </c>
      <c r="X1" t="s">
        <v>43</v>
      </c>
      <c r="Y1" t="s">
        <v>46</v>
      </c>
      <c r="Z1" t="s">
        <v>521</v>
      </c>
      <c r="AA1" t="s">
        <v>107</v>
      </c>
      <c r="AB1" t="s">
        <v>181</v>
      </c>
      <c r="AC1" s="6" t="s">
        <v>413</v>
      </c>
      <c r="AP1">
        <v>27</v>
      </c>
      <c r="AQ1">
        <v>6</v>
      </c>
      <c r="AR1">
        <v>2</v>
      </c>
      <c r="AS1" t="s">
        <v>521</v>
      </c>
      <c r="AT1">
        <v>27</v>
      </c>
      <c r="AU1">
        <v>6</v>
      </c>
      <c r="AV1">
        <v>23</v>
      </c>
      <c r="AW1">
        <v>23</v>
      </c>
    </row>
    <row r="2" spans="1:49" s="10" customFormat="1">
      <c r="A2" s="10" t="s">
        <v>261</v>
      </c>
      <c r="B2" s="10">
        <v>27</v>
      </c>
      <c r="C2" s="10">
        <v>0</v>
      </c>
      <c r="D2" s="10">
        <v>1</v>
      </c>
      <c r="E2" s="27">
        <v>0.32291666666666669</v>
      </c>
      <c r="F2" s="28">
        <v>38527</v>
      </c>
      <c r="G2" s="10">
        <v>28.5</v>
      </c>
      <c r="H2" s="10">
        <v>1.62</v>
      </c>
      <c r="I2" s="10">
        <v>0.21</v>
      </c>
      <c r="J2" s="7" t="s">
        <v>511</v>
      </c>
      <c r="N2" s="10" t="s">
        <v>11</v>
      </c>
      <c r="P2" s="10" t="s">
        <v>140</v>
      </c>
      <c r="Q2" s="10">
        <f t="shared" ref="Q2:Q33" si="0">10*G2</f>
        <v>285</v>
      </c>
      <c r="R2" s="10" t="s">
        <v>141</v>
      </c>
      <c r="S2" s="10" t="s">
        <v>147</v>
      </c>
      <c r="T2" s="10" t="s">
        <v>179</v>
      </c>
      <c r="U2" s="10">
        <v>13.8</v>
      </c>
      <c r="V2" s="10">
        <f>AVERAGE(1.29,1.62)</f>
        <v>1.4550000000000001</v>
      </c>
      <c r="W2" s="10">
        <f>AVERAGE(1.06,0.47)</f>
        <v>0.76500000000000001</v>
      </c>
      <c r="X2" s="10" t="s">
        <v>228</v>
      </c>
      <c r="Y2" s="10">
        <f>U2*25*1/1000</f>
        <v>0.34499999999999997</v>
      </c>
      <c r="Z2" s="10" t="s">
        <v>927</v>
      </c>
      <c r="AA2" s="10" t="s">
        <v>261</v>
      </c>
      <c r="AB2" s="7" t="s">
        <v>537</v>
      </c>
      <c r="AC2" s="7"/>
      <c r="AP2" s="10">
        <v>27</v>
      </c>
      <c r="AQ2" s="10">
        <v>6</v>
      </c>
      <c r="AR2" s="10">
        <v>4.7</v>
      </c>
      <c r="AS2" s="10">
        <f>AVERAGE(AR1:AR3)</f>
        <v>3</v>
      </c>
      <c r="AT2" s="10">
        <v>27</v>
      </c>
      <c r="AU2" s="10">
        <v>6</v>
      </c>
      <c r="AV2" s="10">
        <v>27</v>
      </c>
      <c r="AW2" s="10">
        <v>27</v>
      </c>
    </row>
    <row r="3" spans="1:49" s="10" customFormat="1">
      <c r="A3" s="10" t="s">
        <v>262</v>
      </c>
      <c r="B3" s="10">
        <v>27</v>
      </c>
      <c r="C3" s="10">
        <v>0</v>
      </c>
      <c r="D3" s="10">
        <v>1</v>
      </c>
      <c r="E3" s="27">
        <v>0.32291666666666669</v>
      </c>
      <c r="F3" s="28">
        <v>38527</v>
      </c>
      <c r="G3" s="10">
        <v>25.7</v>
      </c>
      <c r="H3" s="10">
        <v>1.48</v>
      </c>
      <c r="I3" s="10">
        <v>0.49</v>
      </c>
      <c r="J3" s="7" t="s">
        <v>512</v>
      </c>
      <c r="N3" s="10" t="s">
        <v>11</v>
      </c>
      <c r="P3" s="10" t="s">
        <v>140</v>
      </c>
      <c r="Q3" s="10">
        <f t="shared" si="0"/>
        <v>257</v>
      </c>
      <c r="R3" s="10" t="s">
        <v>141</v>
      </c>
      <c r="S3" s="10" t="s">
        <v>177</v>
      </c>
      <c r="T3" s="10" t="s">
        <v>179</v>
      </c>
      <c r="U3" s="10">
        <v>20.100000000000001</v>
      </c>
      <c r="V3" s="10">
        <v>1.32</v>
      </c>
      <c r="W3" s="10">
        <v>1.01</v>
      </c>
      <c r="X3" s="10" t="s">
        <v>228</v>
      </c>
      <c r="Y3" s="10">
        <f>U3*25*1.5/1000</f>
        <v>0.75375000000000014</v>
      </c>
      <c r="Z3" s="10" t="s">
        <v>927</v>
      </c>
      <c r="AA3" s="10" t="s">
        <v>262</v>
      </c>
      <c r="AB3" s="31" t="s">
        <v>521</v>
      </c>
      <c r="AC3" s="31" t="s">
        <v>431</v>
      </c>
      <c r="AD3" s="10" t="s">
        <v>549</v>
      </c>
      <c r="AE3" s="10">
        <f>AVERAGE(Z21:Z22)</f>
        <v>3.355316098925984</v>
      </c>
      <c r="AF3" s="37" t="s">
        <v>607</v>
      </c>
      <c r="AG3" s="10">
        <f>AVERAGE(Z38:Z40)</f>
        <v>3.2111139431968678</v>
      </c>
      <c r="AH3" s="37" t="s">
        <v>595</v>
      </c>
      <c r="AI3" s="10">
        <f>AVERAGE(Z56,Z58)</f>
        <v>3.9525819881763904</v>
      </c>
      <c r="AJ3" s="37" t="s">
        <v>601</v>
      </c>
      <c r="AK3" s="10">
        <v>4.7</v>
      </c>
      <c r="AP3" s="10">
        <v>27</v>
      </c>
      <c r="AQ3" s="10">
        <v>6</v>
      </c>
      <c r="AR3" s="10">
        <v>2.2999999999999998</v>
      </c>
      <c r="AS3" s="10">
        <f>AVERAGE(AR4:AR6)</f>
        <v>4.0999999999999996</v>
      </c>
      <c r="AT3" s="10">
        <v>27</v>
      </c>
      <c r="AU3" s="10">
        <v>6</v>
      </c>
      <c r="AV3" s="10">
        <v>30</v>
      </c>
      <c r="AW3" s="10">
        <f>35/2</f>
        <v>17.5</v>
      </c>
    </row>
    <row r="4" spans="1:49" s="10" customFormat="1">
      <c r="A4" s="10" t="s">
        <v>263</v>
      </c>
      <c r="B4" s="10">
        <v>27</v>
      </c>
      <c r="C4" s="10">
        <v>0</v>
      </c>
      <c r="D4" s="10">
        <v>1</v>
      </c>
      <c r="E4" s="27">
        <v>0.32291666666666669</v>
      </c>
      <c r="F4" s="28">
        <v>38527</v>
      </c>
      <c r="G4" s="10">
        <v>34.799999999999997</v>
      </c>
      <c r="H4" s="10">
        <v>1.57</v>
      </c>
      <c r="I4" s="10">
        <v>1.1000000000000001</v>
      </c>
      <c r="J4" s="7" t="s">
        <v>513</v>
      </c>
      <c r="N4" s="10" t="s">
        <v>11</v>
      </c>
      <c r="P4" s="10" t="s">
        <v>140</v>
      </c>
      <c r="Q4" s="10">
        <f t="shared" si="0"/>
        <v>348</v>
      </c>
      <c r="R4" s="10" t="s">
        <v>141</v>
      </c>
      <c r="S4" s="10" t="s">
        <v>178</v>
      </c>
      <c r="T4" s="10" t="s">
        <v>179</v>
      </c>
      <c r="U4" s="10">
        <f>AVERAGE(18.3,22.7)</f>
        <v>20.5</v>
      </c>
      <c r="V4" s="10">
        <v>1.35</v>
      </c>
      <c r="W4" s="10">
        <v>0.91</v>
      </c>
      <c r="X4" s="10" t="s">
        <v>228</v>
      </c>
      <c r="Y4" s="10">
        <f>U4*25*5/1000</f>
        <v>2.5625</v>
      </c>
      <c r="Z4" s="10" t="s">
        <v>927</v>
      </c>
      <c r="AA4" s="10" t="s">
        <v>263</v>
      </c>
      <c r="AB4" s="7">
        <v>0.34499999999999997</v>
      </c>
      <c r="AC4" s="7">
        <f>LOG(AB4)</f>
        <v>-0.46218090492672592</v>
      </c>
      <c r="AD4" s="7" t="s">
        <v>550</v>
      </c>
      <c r="AE4" s="10">
        <f>AVERAGE(Z23:Z25)</f>
        <v>4.5113655724120836</v>
      </c>
      <c r="AF4" s="37" t="s">
        <v>590</v>
      </c>
      <c r="AG4" s="10">
        <f>AVERAGE(Z41:Z43)</f>
        <v>4.8595554447436626</v>
      </c>
      <c r="AH4" s="37" t="s">
        <v>596</v>
      </c>
      <c r="AI4" s="10" t="s">
        <v>927</v>
      </c>
      <c r="AJ4" s="37" t="s">
        <v>602</v>
      </c>
      <c r="AK4" s="10">
        <v>2.4</v>
      </c>
      <c r="AP4" s="10">
        <v>27</v>
      </c>
      <c r="AQ4" s="10">
        <v>6</v>
      </c>
      <c r="AR4" s="10">
        <v>3.4</v>
      </c>
      <c r="AS4" s="10">
        <f>AVERAGE(AR7:AR8)</f>
        <v>2.5</v>
      </c>
      <c r="AT4" s="10">
        <v>27</v>
      </c>
      <c r="AU4" s="10">
        <v>6</v>
      </c>
      <c r="AV4" s="10">
        <v>5</v>
      </c>
      <c r="AW4" s="10">
        <v>22</v>
      </c>
    </row>
    <row r="5" spans="1:49" s="10" customFormat="1">
      <c r="A5" s="10" t="s">
        <v>264</v>
      </c>
      <c r="B5" s="10">
        <v>27</v>
      </c>
      <c r="C5" s="10">
        <v>0</v>
      </c>
      <c r="D5" s="10">
        <v>2</v>
      </c>
      <c r="E5" s="27">
        <v>0.32291666666666669</v>
      </c>
      <c r="F5" s="28">
        <v>38527</v>
      </c>
      <c r="G5" s="10">
        <v>26.9</v>
      </c>
      <c r="H5" s="10">
        <v>1.65</v>
      </c>
      <c r="I5" s="10">
        <v>0.65</v>
      </c>
      <c r="J5" s="35" t="s">
        <v>514</v>
      </c>
      <c r="K5" s="35" t="s">
        <v>515</v>
      </c>
      <c r="L5" s="34"/>
      <c r="M5" s="34"/>
      <c r="N5" s="10" t="s">
        <v>11</v>
      </c>
      <c r="P5" s="10" t="s">
        <v>140</v>
      </c>
      <c r="Q5" s="10">
        <f t="shared" si="0"/>
        <v>269</v>
      </c>
      <c r="R5" s="10" t="s">
        <v>141</v>
      </c>
      <c r="S5" s="10" t="s">
        <v>92</v>
      </c>
      <c r="T5" s="10" t="s">
        <v>179</v>
      </c>
      <c r="U5" s="10">
        <f>AVERAGE(19.2,14.8)</f>
        <v>17</v>
      </c>
      <c r="V5" s="10">
        <f>AVERAGE(1.4,1.75)</f>
        <v>1.575</v>
      </c>
      <c r="W5" s="10">
        <f>AVERAGE(0.74,0.92)</f>
        <v>0.83000000000000007</v>
      </c>
      <c r="X5" s="10" t="s">
        <v>228</v>
      </c>
      <c r="Y5" s="10">
        <f>U5*25*5/1000</f>
        <v>2.125</v>
      </c>
      <c r="Z5" s="10" t="s">
        <v>927</v>
      </c>
      <c r="AA5" s="10" t="s">
        <v>264</v>
      </c>
      <c r="AB5" s="7">
        <v>0.75375000000000014</v>
      </c>
      <c r="AC5" s="7">
        <f t="shared" ref="AC5:AC12" si="1">LOG(AB5)</f>
        <v>-0.12277267485179219</v>
      </c>
      <c r="AD5" s="7" t="s">
        <v>551</v>
      </c>
      <c r="AE5" s="10">
        <f>AVERAGE(Z26:Z28)</f>
        <v>2.0063761594673495</v>
      </c>
      <c r="AF5" s="37" t="s">
        <v>591</v>
      </c>
      <c r="AG5" s="10">
        <f>AVERAGE(Z45:Z46)</f>
        <v>4.3791253676399453</v>
      </c>
      <c r="AH5" s="37" t="s">
        <v>597</v>
      </c>
      <c r="AI5" s="10" t="s">
        <v>927</v>
      </c>
      <c r="AJ5" s="37" t="s">
        <v>603</v>
      </c>
      <c r="AK5" s="10" t="s">
        <v>927</v>
      </c>
      <c r="AP5" s="10">
        <v>27</v>
      </c>
      <c r="AQ5" s="10">
        <v>6</v>
      </c>
      <c r="AR5" s="10">
        <v>7.8</v>
      </c>
      <c r="AS5" s="10">
        <f>AVERAGE(AR9:AR11)</f>
        <v>3.4666666666666668</v>
      </c>
      <c r="AT5" s="10">
        <v>30</v>
      </c>
      <c r="AU5" s="10">
        <v>6</v>
      </c>
      <c r="AV5" s="10">
        <v>14</v>
      </c>
      <c r="AW5" s="10">
        <v>19</v>
      </c>
    </row>
    <row r="6" spans="1:49" s="10" customFormat="1">
      <c r="A6" s="10" t="s">
        <v>265</v>
      </c>
      <c r="B6" s="10">
        <v>27</v>
      </c>
      <c r="C6" s="10">
        <v>0</v>
      </c>
      <c r="D6" s="10">
        <v>2</v>
      </c>
      <c r="E6" s="27">
        <v>0.32291666666666669</v>
      </c>
      <c r="F6" s="28">
        <v>38527</v>
      </c>
      <c r="G6" s="10">
        <v>34.9</v>
      </c>
      <c r="H6" s="10">
        <v>1.78</v>
      </c>
      <c r="I6" s="10">
        <v>1.0900000000000001</v>
      </c>
      <c r="J6" s="7" t="s">
        <v>516</v>
      </c>
      <c r="N6" s="10" t="s">
        <v>11</v>
      </c>
      <c r="P6" s="10" t="s">
        <v>140</v>
      </c>
      <c r="Q6" s="10">
        <f t="shared" si="0"/>
        <v>349</v>
      </c>
      <c r="R6" s="10" t="s">
        <v>141</v>
      </c>
      <c r="S6" s="10" t="s">
        <v>93</v>
      </c>
      <c r="T6" s="10" t="s">
        <v>96</v>
      </c>
      <c r="U6" s="10">
        <v>6.9</v>
      </c>
      <c r="V6" s="10">
        <v>1.5</v>
      </c>
      <c r="W6" s="10">
        <f>AVERAGE(0.49,0.85)</f>
        <v>0.66999999999999993</v>
      </c>
      <c r="X6" s="10" t="s">
        <v>228</v>
      </c>
      <c r="Y6" s="10">
        <f>U6*25*5/1000</f>
        <v>0.86250000000000004</v>
      </c>
      <c r="Z6" s="10" t="s">
        <v>927</v>
      </c>
      <c r="AA6" s="10" t="s">
        <v>265</v>
      </c>
      <c r="AB6" s="7">
        <v>2.5625</v>
      </c>
      <c r="AC6" s="7">
        <f t="shared" si="1"/>
        <v>0.40866387406381072</v>
      </c>
      <c r="AD6" s="6" t="s">
        <v>552</v>
      </c>
      <c r="AE6" s="10">
        <f>AVERAGE(Z29:Z31)</f>
        <v>3.4738637927139524</v>
      </c>
      <c r="AF6" s="36" t="s">
        <v>592</v>
      </c>
      <c r="AG6" s="10">
        <f>AVERAGE(Z48:Z49)</f>
        <v>7.0166655458736287</v>
      </c>
      <c r="AH6" s="36" t="s">
        <v>598</v>
      </c>
      <c r="AI6" s="10">
        <v>7.4</v>
      </c>
      <c r="AJ6" s="36" t="s">
        <v>604</v>
      </c>
      <c r="AK6" s="7">
        <v>2.4</v>
      </c>
      <c r="AP6" s="10">
        <v>27</v>
      </c>
      <c r="AQ6" s="10">
        <v>6</v>
      </c>
      <c r="AR6" s="10">
        <v>1.1000000000000001</v>
      </c>
      <c r="AS6" s="10">
        <f>AVERAGE(AR14:AR15)</f>
        <v>1.75</v>
      </c>
      <c r="AT6" s="10">
        <v>30</v>
      </c>
      <c r="AU6" s="10">
        <v>6</v>
      </c>
      <c r="AV6" s="10">
        <v>30</v>
      </c>
      <c r="AW6" s="7">
        <v>33</v>
      </c>
    </row>
    <row r="7" spans="1:49" s="7" customFormat="1">
      <c r="A7" s="7" t="s">
        <v>266</v>
      </c>
      <c r="B7" s="7">
        <v>27</v>
      </c>
      <c r="C7" s="7">
        <v>0</v>
      </c>
      <c r="D7" s="7">
        <v>2</v>
      </c>
      <c r="E7" s="19">
        <v>0.32291666666666669</v>
      </c>
      <c r="F7" s="20">
        <v>38527</v>
      </c>
      <c r="G7" s="7">
        <v>208.3</v>
      </c>
      <c r="H7" s="7">
        <v>1.93</v>
      </c>
      <c r="I7" s="7">
        <v>2.64</v>
      </c>
      <c r="J7" s="7" t="s">
        <v>517</v>
      </c>
      <c r="N7" s="7" t="s">
        <v>11</v>
      </c>
      <c r="P7" s="7" t="s">
        <v>140</v>
      </c>
      <c r="Q7" s="7">
        <f t="shared" si="0"/>
        <v>2083</v>
      </c>
      <c r="R7" s="7" t="s">
        <v>141</v>
      </c>
      <c r="S7" s="7" t="s">
        <v>520</v>
      </c>
      <c r="T7" s="7" t="s">
        <v>96</v>
      </c>
      <c r="U7" s="7">
        <v>53.5</v>
      </c>
      <c r="V7" s="7">
        <v>1.87</v>
      </c>
      <c r="W7" s="7">
        <v>0.83</v>
      </c>
      <c r="X7" s="7" t="s">
        <v>229</v>
      </c>
      <c r="Y7" s="7">
        <f>U7*25*5/1000</f>
        <v>6.6875</v>
      </c>
      <c r="Z7" s="10" t="s">
        <v>927</v>
      </c>
      <c r="AA7" s="7" t="s">
        <v>266</v>
      </c>
      <c r="AB7" s="7">
        <v>2.125</v>
      </c>
      <c r="AC7" s="7">
        <f t="shared" si="1"/>
        <v>0.32735893438633035</v>
      </c>
      <c r="AD7" s="6" t="s">
        <v>553</v>
      </c>
      <c r="AE7" s="7">
        <f>AVERAGE(Z33:Z34)</f>
        <v>1.930453657953296</v>
      </c>
      <c r="AF7" s="36" t="s">
        <v>593</v>
      </c>
      <c r="AG7" s="7">
        <f>AVERAGE(Z50:Z52)</f>
        <v>4.5245140950496063</v>
      </c>
      <c r="AH7" s="36" t="s">
        <v>599</v>
      </c>
      <c r="AI7" s="7">
        <v>13.5</v>
      </c>
      <c r="AJ7" s="36" t="s">
        <v>605</v>
      </c>
      <c r="AK7" s="6">
        <v>2.5</v>
      </c>
      <c r="AP7" s="7">
        <v>27</v>
      </c>
      <c r="AQ7" s="7">
        <v>6</v>
      </c>
      <c r="AR7" s="7">
        <v>3.5</v>
      </c>
      <c r="AS7" s="7">
        <v>2.5</v>
      </c>
      <c r="AT7" s="7">
        <v>30</v>
      </c>
      <c r="AU7" s="7">
        <v>6</v>
      </c>
      <c r="AV7" s="7">
        <v>18</v>
      </c>
      <c r="AW7" s="10">
        <f>AVERAGE(AV10:AV11)</f>
        <v>53</v>
      </c>
    </row>
    <row r="8" spans="1:49" s="7" customFormat="1">
      <c r="A8" s="7" t="s">
        <v>267</v>
      </c>
      <c r="B8" s="7">
        <v>27</v>
      </c>
      <c r="C8" s="7">
        <v>0</v>
      </c>
      <c r="D8" s="7">
        <v>3</v>
      </c>
      <c r="E8" s="19">
        <v>0.32291666666666669</v>
      </c>
      <c r="F8" s="20">
        <v>38527</v>
      </c>
      <c r="G8" s="7">
        <f>AVERAGE(137.4,136.6)</f>
        <v>137</v>
      </c>
      <c r="H8" s="7">
        <v>1.9</v>
      </c>
      <c r="I8" s="7">
        <v>2.29</v>
      </c>
      <c r="N8" s="7" t="s">
        <v>11</v>
      </c>
      <c r="P8" s="7" t="s">
        <v>140</v>
      </c>
      <c r="Q8" s="7">
        <f t="shared" si="0"/>
        <v>1370</v>
      </c>
      <c r="R8" s="7" t="s">
        <v>141</v>
      </c>
      <c r="S8" s="7" t="s">
        <v>138</v>
      </c>
      <c r="T8" s="7" t="s">
        <v>95</v>
      </c>
      <c r="U8" s="7">
        <f>AVERAGE(78.2,88.4)</f>
        <v>83.300000000000011</v>
      </c>
      <c r="V8" s="7">
        <v>1.67</v>
      </c>
      <c r="W8" s="7">
        <v>0.47</v>
      </c>
      <c r="X8" s="7" t="s">
        <v>280</v>
      </c>
      <c r="Y8" s="7">
        <f>U8*25*2.5/1000</f>
        <v>5.2062500000000007</v>
      </c>
      <c r="Z8" s="10" t="s">
        <v>927</v>
      </c>
      <c r="AA8" s="7" t="s">
        <v>267</v>
      </c>
      <c r="AB8" s="7">
        <v>0.86250000000000004</v>
      </c>
      <c r="AC8" s="7">
        <f t="shared" si="1"/>
        <v>-6.4240896254688248E-2</v>
      </c>
      <c r="AD8" s="6" t="s">
        <v>554</v>
      </c>
      <c r="AE8" s="7">
        <f>AVERAGE(Z35:Z37)</f>
        <v>2.1479081848331667</v>
      </c>
      <c r="AF8" s="36" t="s">
        <v>594</v>
      </c>
      <c r="AG8" s="7">
        <f>AVERAGE(Z53:Z55)</f>
        <v>6.0497024425616646</v>
      </c>
      <c r="AH8" s="36" t="s">
        <v>600</v>
      </c>
      <c r="AI8" s="7">
        <v>3.3</v>
      </c>
      <c r="AJ8" s="36" t="s">
        <v>606</v>
      </c>
      <c r="AK8" s="6">
        <v>1.1000000000000001</v>
      </c>
      <c r="AP8" s="7">
        <v>27</v>
      </c>
      <c r="AQ8" s="7">
        <v>6</v>
      </c>
      <c r="AR8" s="7">
        <v>1.5</v>
      </c>
      <c r="AS8" s="7">
        <f>AVERAGE(AR17:AR19)</f>
        <v>3.1999999999999997</v>
      </c>
      <c r="AT8" s="7">
        <v>30</v>
      </c>
      <c r="AU8" s="7">
        <v>6</v>
      </c>
      <c r="AV8" s="7">
        <v>20</v>
      </c>
      <c r="AW8" s="12">
        <v>38</v>
      </c>
    </row>
    <row r="9" spans="1:49" s="10" customFormat="1">
      <c r="A9" s="10" t="s">
        <v>268</v>
      </c>
      <c r="B9" s="10">
        <v>27</v>
      </c>
      <c r="C9" s="10">
        <v>0</v>
      </c>
      <c r="D9" s="10">
        <v>3</v>
      </c>
      <c r="E9" s="27">
        <v>0.32291666666666669</v>
      </c>
      <c r="F9" s="28">
        <v>38527</v>
      </c>
      <c r="G9" s="10">
        <v>16.7</v>
      </c>
      <c r="H9" s="10">
        <v>1.57</v>
      </c>
      <c r="I9" s="10">
        <v>0.65</v>
      </c>
      <c r="J9" s="7" t="s">
        <v>132</v>
      </c>
      <c r="N9" s="10" t="s">
        <v>11</v>
      </c>
      <c r="P9" s="10" t="s">
        <v>140</v>
      </c>
      <c r="Q9" s="10">
        <f t="shared" si="0"/>
        <v>167</v>
      </c>
      <c r="R9" s="10" t="s">
        <v>141</v>
      </c>
      <c r="S9" s="10" t="s">
        <v>138</v>
      </c>
      <c r="T9" s="10" t="s">
        <v>95</v>
      </c>
      <c r="U9" s="10">
        <f>AVERAGE(64.3,60.1)</f>
        <v>62.2</v>
      </c>
      <c r="V9" s="10">
        <v>1.5</v>
      </c>
      <c r="W9" s="10">
        <v>0.35</v>
      </c>
      <c r="X9" s="10" t="s">
        <v>86</v>
      </c>
      <c r="Y9" s="10">
        <f>62.2*25*2.5/1000</f>
        <v>3.8875000000000002</v>
      </c>
      <c r="Z9" s="10" t="s">
        <v>927</v>
      </c>
      <c r="AA9" s="10" t="s">
        <v>268</v>
      </c>
      <c r="AB9" s="7">
        <v>6.6875</v>
      </c>
      <c r="AC9" s="7">
        <f t="shared" si="1"/>
        <v>0.82526379502928482</v>
      </c>
      <c r="AD9" s="10" t="s">
        <v>1072</v>
      </c>
      <c r="AP9" s="10">
        <v>30</v>
      </c>
      <c r="AQ9" s="10">
        <v>6</v>
      </c>
      <c r="AR9" s="10">
        <v>1.9</v>
      </c>
      <c r="AS9" s="10">
        <f>AVERAGE(AR20:AR22)</f>
        <v>4.8666666666666663</v>
      </c>
      <c r="AT9" s="10">
        <v>30</v>
      </c>
      <c r="AU9" s="10">
        <v>6</v>
      </c>
      <c r="AV9" s="10">
        <v>46</v>
      </c>
      <c r="AW9" s="12">
        <v>56</v>
      </c>
    </row>
    <row r="10" spans="1:49" s="10" customFormat="1">
      <c r="A10" s="10" t="s">
        <v>215</v>
      </c>
      <c r="B10" s="10">
        <v>27</v>
      </c>
      <c r="C10" s="10">
        <v>0</v>
      </c>
      <c r="D10" s="10">
        <v>3</v>
      </c>
      <c r="E10" s="27">
        <v>0.32291666666666669</v>
      </c>
      <c r="F10" s="28">
        <v>38527</v>
      </c>
      <c r="G10" s="10">
        <v>24</v>
      </c>
      <c r="H10" s="10">
        <v>1.67</v>
      </c>
      <c r="I10" s="10">
        <v>0.78</v>
      </c>
      <c r="J10" s="10">
        <f>AVERAGE(J11:J92)</f>
        <v>77.266071428571436</v>
      </c>
      <c r="K10" s="10">
        <f>AVERAGE(K11:K90)</f>
        <v>1.8392857142857146</v>
      </c>
      <c r="L10" s="10">
        <f>AVERAGE(L11:L91)</f>
        <v>0.8616071428571429</v>
      </c>
      <c r="M10" s="10">
        <f>AVERAGE(M11:M62)</f>
        <v>2.3357560975609752</v>
      </c>
      <c r="N10" s="10" t="s">
        <v>11</v>
      </c>
      <c r="P10" s="10" t="s">
        <v>140</v>
      </c>
      <c r="Q10" s="10">
        <f t="shared" si="0"/>
        <v>240</v>
      </c>
      <c r="R10" s="10" t="s">
        <v>141</v>
      </c>
      <c r="S10" s="10" t="s">
        <v>138</v>
      </c>
      <c r="T10" s="10" t="s">
        <v>95</v>
      </c>
      <c r="U10" s="10">
        <f>AVERAGE(149.3,151.1)</f>
        <v>150.19999999999999</v>
      </c>
      <c r="V10" s="10">
        <v>1.51</v>
      </c>
      <c r="W10" s="10">
        <v>0.68</v>
      </c>
      <c r="X10" s="10" t="s">
        <v>86</v>
      </c>
      <c r="Y10" s="10">
        <f>150.2*25*2.5/1000</f>
        <v>9.3874999999999975</v>
      </c>
      <c r="Z10" s="10">
        <f t="shared" ref="Z3:Z66" si="2">Y10/M10</f>
        <v>4.0190412046028854</v>
      </c>
      <c r="AA10" s="10" t="s">
        <v>215</v>
      </c>
      <c r="AB10" s="7">
        <v>5.2062500000000007</v>
      </c>
      <c r="AC10" s="7">
        <f t="shared" si="1"/>
        <v>0.71652501875086283</v>
      </c>
      <c r="AP10" s="10">
        <v>30</v>
      </c>
      <c r="AQ10" s="10">
        <v>6</v>
      </c>
      <c r="AR10" s="10">
        <v>4.0999999999999996</v>
      </c>
      <c r="AS10" s="10">
        <f>AVERAGE(AR23:AR24)</f>
        <v>4.3499999999999996</v>
      </c>
      <c r="AT10" s="10">
        <v>27</v>
      </c>
      <c r="AU10" s="10">
        <v>12</v>
      </c>
      <c r="AV10" s="10">
        <v>70</v>
      </c>
      <c r="AW10" s="6">
        <f>AVERAGE(AV14:AV15)</f>
        <v>46</v>
      </c>
    </row>
    <row r="11" spans="1:49" s="12" customFormat="1">
      <c r="A11" s="12" t="s">
        <v>216</v>
      </c>
      <c r="B11" s="12">
        <v>30</v>
      </c>
      <c r="C11" s="12">
        <v>0</v>
      </c>
      <c r="D11" s="12">
        <v>1</v>
      </c>
      <c r="E11" s="29">
        <v>0.32291666666666669</v>
      </c>
      <c r="F11" s="30">
        <v>38527</v>
      </c>
      <c r="G11" s="12">
        <v>11.6</v>
      </c>
      <c r="H11" s="12">
        <v>1.5</v>
      </c>
      <c r="I11" s="12">
        <v>0.6</v>
      </c>
      <c r="J11" s="12">
        <v>67.099999999999994</v>
      </c>
      <c r="K11" s="12">
        <v>1.83</v>
      </c>
      <c r="L11" s="12">
        <v>0.38</v>
      </c>
      <c r="M11" s="12">
        <f>J11*30/1000</f>
        <v>2.0129999999999999</v>
      </c>
      <c r="N11" s="12" t="s">
        <v>11</v>
      </c>
      <c r="P11" s="12" t="s">
        <v>140</v>
      </c>
      <c r="Q11" s="12">
        <f t="shared" si="0"/>
        <v>116</v>
      </c>
      <c r="R11" s="12" t="s">
        <v>141</v>
      </c>
      <c r="S11" s="12" t="s">
        <v>133</v>
      </c>
      <c r="T11" s="12" t="s">
        <v>95</v>
      </c>
      <c r="U11" s="12" t="s">
        <v>45</v>
      </c>
      <c r="V11" s="12" t="s">
        <v>86</v>
      </c>
      <c r="W11" s="12" t="s">
        <v>86</v>
      </c>
      <c r="X11" s="12" t="s">
        <v>86</v>
      </c>
      <c r="Y11" s="12" t="s">
        <v>86</v>
      </c>
      <c r="Z11" s="10" t="s">
        <v>927</v>
      </c>
      <c r="AA11" s="12" t="s">
        <v>216</v>
      </c>
      <c r="AB11" s="7">
        <v>3.8875000000000002</v>
      </c>
      <c r="AC11" s="7">
        <f t="shared" si="1"/>
        <v>0.58967040203489396</v>
      </c>
      <c r="AP11" s="12">
        <v>30</v>
      </c>
      <c r="AQ11" s="12">
        <v>6</v>
      </c>
      <c r="AR11" s="12">
        <v>4.4000000000000004</v>
      </c>
      <c r="AS11" s="12">
        <f>AVERAGE(AR25:AR26)</f>
        <v>7.15</v>
      </c>
      <c r="AT11" s="12">
        <v>27</v>
      </c>
      <c r="AU11" s="12">
        <v>12</v>
      </c>
      <c r="AV11" s="12">
        <v>36</v>
      </c>
      <c r="AW11" s="6">
        <f>AVERAGE(AV16:AV18)</f>
        <v>35.333333333333336</v>
      </c>
    </row>
    <row r="12" spans="1:49" s="12" customFormat="1">
      <c r="A12" s="12" t="s">
        <v>217</v>
      </c>
      <c r="B12" s="12">
        <v>30</v>
      </c>
      <c r="C12" s="12">
        <v>0</v>
      </c>
      <c r="D12" s="12">
        <v>1</v>
      </c>
      <c r="E12" s="29">
        <v>0.32291666666666669</v>
      </c>
      <c r="F12" s="30">
        <v>38527</v>
      </c>
      <c r="G12" s="12">
        <v>9</v>
      </c>
      <c r="H12" s="12">
        <v>1.62</v>
      </c>
      <c r="I12" s="12">
        <v>0.15</v>
      </c>
      <c r="J12" s="12" t="s">
        <v>86</v>
      </c>
      <c r="M12" s="12" t="s">
        <v>272</v>
      </c>
      <c r="N12" s="12" t="s">
        <v>13</v>
      </c>
      <c r="P12" s="12" t="s">
        <v>140</v>
      </c>
      <c r="Q12" s="12">
        <f t="shared" si="0"/>
        <v>90</v>
      </c>
      <c r="R12" s="12" t="s">
        <v>141</v>
      </c>
      <c r="S12" s="12" t="s">
        <v>133</v>
      </c>
      <c r="T12" s="12" t="s">
        <v>285</v>
      </c>
      <c r="U12" s="12" t="s">
        <v>45</v>
      </c>
      <c r="V12" s="12" t="s">
        <v>86</v>
      </c>
      <c r="W12" s="12" t="s">
        <v>86</v>
      </c>
      <c r="X12" s="12" t="s">
        <v>86</v>
      </c>
      <c r="Y12" s="12" t="s">
        <v>86</v>
      </c>
      <c r="Z12" s="10" t="s">
        <v>927</v>
      </c>
      <c r="AA12" s="12" t="s">
        <v>217</v>
      </c>
      <c r="AB12" s="7">
        <v>9.3874999999999975</v>
      </c>
      <c r="AC12" s="7">
        <f t="shared" si="1"/>
        <v>0.97254995001222466</v>
      </c>
      <c r="AP12" s="12">
        <v>30</v>
      </c>
      <c r="AQ12" s="12">
        <v>6</v>
      </c>
      <c r="AR12" s="12">
        <v>1.5</v>
      </c>
      <c r="AS12" s="12">
        <f>AVERAGE(AR27:AR29)</f>
        <v>4.5333333333333332</v>
      </c>
      <c r="AT12" s="12">
        <v>27</v>
      </c>
      <c r="AU12" s="12">
        <v>12</v>
      </c>
      <c r="AV12" s="12">
        <v>38</v>
      </c>
      <c r="AW12" s="6">
        <v>27</v>
      </c>
    </row>
    <row r="13" spans="1:49" s="12" customFormat="1">
      <c r="A13" s="12" t="s">
        <v>218</v>
      </c>
      <c r="B13" s="12">
        <v>30</v>
      </c>
      <c r="C13" s="12">
        <v>0</v>
      </c>
      <c r="D13" s="12">
        <v>1</v>
      </c>
      <c r="E13" s="29">
        <v>0.32291666666666669</v>
      </c>
      <c r="F13" s="30">
        <v>38527</v>
      </c>
      <c r="G13" s="12">
        <v>14.7</v>
      </c>
      <c r="H13" s="12">
        <v>1.5</v>
      </c>
      <c r="I13" s="12">
        <v>0.39</v>
      </c>
      <c r="J13" s="12">
        <v>62.7</v>
      </c>
      <c r="K13" s="12">
        <v>1.86</v>
      </c>
      <c r="L13" s="12">
        <v>0.45</v>
      </c>
      <c r="M13" s="6">
        <f t="shared" ref="M13:M46" si="3">J13*30/1000</f>
        <v>1.881</v>
      </c>
      <c r="N13" s="12" t="s">
        <v>11</v>
      </c>
      <c r="P13" s="12" t="s">
        <v>140</v>
      </c>
      <c r="Q13" s="12">
        <f t="shared" si="0"/>
        <v>147</v>
      </c>
      <c r="R13" s="12" t="s">
        <v>141</v>
      </c>
      <c r="S13" s="12" t="s">
        <v>133</v>
      </c>
      <c r="T13" s="12" t="s">
        <v>166</v>
      </c>
      <c r="U13" s="12" t="s">
        <v>45</v>
      </c>
      <c r="V13" s="12" t="s">
        <v>86</v>
      </c>
      <c r="W13" s="12" t="s">
        <v>86</v>
      </c>
      <c r="X13" s="12" t="s">
        <v>86</v>
      </c>
      <c r="Y13" s="12" t="s">
        <v>86</v>
      </c>
      <c r="Z13" s="10" t="s">
        <v>927</v>
      </c>
      <c r="AA13" s="12" t="s">
        <v>218</v>
      </c>
      <c r="AE13" s="10" t="s">
        <v>533</v>
      </c>
      <c r="AF13" s="12" t="s">
        <v>523</v>
      </c>
      <c r="AG13" s="10" t="s">
        <v>524</v>
      </c>
      <c r="AH13" s="12" t="s">
        <v>525</v>
      </c>
      <c r="AI13" s="10" t="s">
        <v>526</v>
      </c>
      <c r="AJ13" s="12" t="s">
        <v>527</v>
      </c>
      <c r="AK13" s="10" t="s">
        <v>528</v>
      </c>
      <c r="AL13" s="12" t="s">
        <v>529</v>
      </c>
      <c r="AM13" s="10" t="s">
        <v>530</v>
      </c>
      <c r="AN13" s="12" t="s">
        <v>531</v>
      </c>
      <c r="AP13" s="12">
        <v>30</v>
      </c>
      <c r="AQ13" s="12">
        <v>6</v>
      </c>
      <c r="AR13" s="12">
        <v>2.4</v>
      </c>
      <c r="AS13" s="12">
        <f>AVERAGE(AR29:AR31)</f>
        <v>4.7</v>
      </c>
      <c r="AT13" s="12">
        <v>27</v>
      </c>
      <c r="AU13" s="12">
        <v>12</v>
      </c>
      <c r="AV13" s="12">
        <v>56</v>
      </c>
      <c r="AW13" s="12">
        <v>54</v>
      </c>
    </row>
    <row r="14" spans="1:49" s="6" customFormat="1">
      <c r="A14" s="6" t="s">
        <v>219</v>
      </c>
      <c r="B14" s="6">
        <v>30</v>
      </c>
      <c r="C14" s="6">
        <v>0</v>
      </c>
      <c r="D14" s="6">
        <v>2</v>
      </c>
      <c r="E14" s="21">
        <v>0.32291666666666669</v>
      </c>
      <c r="F14" s="22">
        <v>38527</v>
      </c>
      <c r="G14" s="12">
        <v>102.1</v>
      </c>
      <c r="H14" s="12">
        <v>1.96</v>
      </c>
      <c r="I14" s="12">
        <v>1.01</v>
      </c>
      <c r="J14" s="6">
        <v>82.8</v>
      </c>
      <c r="K14" s="6">
        <v>1.79</v>
      </c>
      <c r="L14" s="6">
        <v>0.85</v>
      </c>
      <c r="M14" s="6">
        <f t="shared" si="3"/>
        <v>2.484</v>
      </c>
      <c r="N14" s="6" t="s">
        <v>11</v>
      </c>
      <c r="P14" s="6" t="s">
        <v>140</v>
      </c>
      <c r="Q14" s="6">
        <f t="shared" si="0"/>
        <v>1021</v>
      </c>
      <c r="R14" s="6" t="s">
        <v>170</v>
      </c>
      <c r="S14" s="6" t="s">
        <v>171</v>
      </c>
      <c r="T14" s="6" t="s">
        <v>96</v>
      </c>
      <c r="U14" s="6">
        <v>35.200000000000003</v>
      </c>
      <c r="V14" s="6">
        <v>1.79</v>
      </c>
      <c r="W14" s="6">
        <v>2.61</v>
      </c>
      <c r="Y14" s="6">
        <f>U14*25*5/1000</f>
        <v>4.4000000000000012</v>
      </c>
      <c r="Z14" s="10">
        <f t="shared" si="2"/>
        <v>1.7713365539452501</v>
      </c>
      <c r="AA14" s="6" t="s">
        <v>219</v>
      </c>
      <c r="AB14" s="6">
        <f>Y14/M14</f>
        <v>1.7713365539452501</v>
      </c>
      <c r="AC14" s="6">
        <f>LOG(AB14)</f>
        <v>0.24830108498164499</v>
      </c>
      <c r="AD14" s="23" t="s">
        <v>132</v>
      </c>
      <c r="AE14" s="7">
        <f>AVERAGE(Y2:Y10)</f>
        <v>3.5352777777777771</v>
      </c>
      <c r="AF14" s="6">
        <f>AVERAGE(AB14:AB18)</f>
        <v>3.1080605356489439</v>
      </c>
      <c r="AG14" s="7">
        <f>AVERAGE(AB21:AB28)</f>
        <v>3.2829821741862832</v>
      </c>
      <c r="AH14" s="6">
        <f>AVERAGE(AB29:AB37)</f>
        <v>2.5907779060684941</v>
      </c>
      <c r="AI14" s="7">
        <f>AVERAGE(AB38:AB46)</f>
        <v>4.1212823623876851</v>
      </c>
      <c r="AJ14" s="6">
        <f>AVERAGE(AB47:AB55)</f>
        <v>5.6720248457029001</v>
      </c>
      <c r="AK14" s="7">
        <f>AVERAGE(AB56:AB64)</f>
        <v>3.9525819881763904</v>
      </c>
      <c r="AL14" s="6">
        <f>AVERAGE(AB66:AB73)</f>
        <v>6.1432639736531653</v>
      </c>
      <c r="AM14" s="7">
        <f>AVERAGE(AB74:AB82)</f>
        <v>3.7660687219905342</v>
      </c>
      <c r="AN14" s="6">
        <f>AVERAGE(AB84:AB90)</f>
        <v>2.1086302785050175</v>
      </c>
      <c r="AP14" s="6">
        <v>30</v>
      </c>
      <c r="AQ14" s="6">
        <v>6</v>
      </c>
      <c r="AR14" s="6">
        <v>1.5</v>
      </c>
      <c r="AS14" s="6">
        <v>1.4</v>
      </c>
      <c r="AT14" s="6">
        <v>30</v>
      </c>
      <c r="AU14" s="6">
        <v>12</v>
      </c>
      <c r="AV14" s="6">
        <v>48</v>
      </c>
      <c r="AW14" s="6" t="s">
        <v>927</v>
      </c>
    </row>
    <row r="15" spans="1:49" s="6" customFormat="1">
      <c r="A15" s="6" t="s">
        <v>220</v>
      </c>
      <c r="B15" s="6">
        <v>30</v>
      </c>
      <c r="C15" s="6">
        <v>0</v>
      </c>
      <c r="D15" s="6">
        <v>2</v>
      </c>
      <c r="E15" s="21">
        <v>0.32291666666666669</v>
      </c>
      <c r="F15" s="22">
        <v>38527</v>
      </c>
      <c r="G15" s="6">
        <f>AVERAGE(142.8,147.4)</f>
        <v>145.10000000000002</v>
      </c>
      <c r="H15" s="6">
        <v>1.84</v>
      </c>
      <c r="I15" s="6">
        <v>2.3199999999999998</v>
      </c>
      <c r="J15" s="6" t="s">
        <v>522</v>
      </c>
      <c r="N15" s="6" t="s">
        <v>11</v>
      </c>
      <c r="P15" s="6" t="s">
        <v>140</v>
      </c>
      <c r="Q15" s="6">
        <f t="shared" si="0"/>
        <v>1451.0000000000002</v>
      </c>
      <c r="R15" s="6" t="s">
        <v>170</v>
      </c>
      <c r="S15" s="6" t="s">
        <v>48</v>
      </c>
      <c r="T15" s="6" t="s">
        <v>96</v>
      </c>
      <c r="U15" s="6">
        <f>AVERAGE(32.1,30.2)</f>
        <v>31.15</v>
      </c>
      <c r="V15" s="6">
        <v>1.79</v>
      </c>
      <c r="W15" s="6">
        <f>AVERAGE(3.2,3.82)</f>
        <v>3.51</v>
      </c>
      <c r="Y15" s="6">
        <f>U15*25*5/1000</f>
        <v>3.8937499999999998</v>
      </c>
      <c r="Z15" s="10" t="s">
        <v>927</v>
      </c>
      <c r="AA15" s="6" t="s">
        <v>220</v>
      </c>
      <c r="AB15" s="6" t="s">
        <v>522</v>
      </c>
      <c r="AC15" s="6" t="s">
        <v>272</v>
      </c>
      <c r="AD15" s="23" t="s">
        <v>135</v>
      </c>
      <c r="AE15" s="7">
        <f>STDEV(Y2:Y10)</f>
        <v>3.0637988813023358</v>
      </c>
      <c r="AF15" s="6">
        <f>STDEV(AB14:AB18)</f>
        <v>2.7481792689765716</v>
      </c>
      <c r="AG15" s="7">
        <f>STDEV(AB21:AB28)</f>
        <v>2.1701210384572325</v>
      </c>
      <c r="AH15" s="6">
        <f>STDEV(AB29:AB37)</f>
        <v>1.1390913363397712</v>
      </c>
      <c r="AI15" s="7">
        <f>STDEV(AB38:AB46)</f>
        <v>2.0562293969841088</v>
      </c>
      <c r="AJ15" s="6">
        <f>STDEV(AB48:AB54)</f>
        <v>4.1157635609244236</v>
      </c>
      <c r="AK15" s="7">
        <f>STDEV(AB56:AB58)</f>
        <v>3.5445630615610297</v>
      </c>
      <c r="AL15" s="6">
        <f>STDEV(AB66:AB73)</f>
        <v>4.7188994450773221</v>
      </c>
      <c r="AM15" s="7">
        <f>STDEV(AB74:AB78)</f>
        <v>1.9866450084462721</v>
      </c>
      <c r="AN15" s="6">
        <f>STDEV(AB84:AB90)</f>
        <v>1.1435661034826563</v>
      </c>
      <c r="AP15" s="6">
        <v>30</v>
      </c>
      <c r="AQ15" s="6">
        <v>6</v>
      </c>
      <c r="AR15" s="6">
        <v>2</v>
      </c>
      <c r="AS15" s="6">
        <v>6.5</v>
      </c>
      <c r="AT15" s="6">
        <v>30</v>
      </c>
      <c r="AU15" s="6">
        <v>12</v>
      </c>
      <c r="AV15" s="6">
        <v>44</v>
      </c>
      <c r="AW15" s="6" t="s">
        <v>927</v>
      </c>
    </row>
    <row r="16" spans="1:49" s="6" customFormat="1">
      <c r="A16" s="6" t="s">
        <v>221</v>
      </c>
      <c r="B16" s="6">
        <v>30</v>
      </c>
      <c r="C16" s="6">
        <v>0</v>
      </c>
      <c r="D16" s="6">
        <v>2</v>
      </c>
      <c r="E16" s="21">
        <v>0.32291666666666669</v>
      </c>
      <c r="F16" s="22">
        <v>38527</v>
      </c>
      <c r="G16" s="6">
        <f>AVERAGE(119.4,111.8)</f>
        <v>115.6</v>
      </c>
      <c r="H16" s="6">
        <v>1.86</v>
      </c>
      <c r="I16" s="6">
        <v>2.09</v>
      </c>
      <c r="J16" s="6">
        <v>16.5</v>
      </c>
      <c r="K16" s="6">
        <v>1.69</v>
      </c>
      <c r="L16" s="6">
        <v>0.08</v>
      </c>
      <c r="M16" s="6">
        <f>J16*30/1000</f>
        <v>0.495</v>
      </c>
      <c r="N16" s="6" t="s">
        <v>11</v>
      </c>
      <c r="P16" s="6" t="s">
        <v>140</v>
      </c>
      <c r="Q16" s="6">
        <f t="shared" si="0"/>
        <v>1156</v>
      </c>
      <c r="R16" s="6" t="s">
        <v>170</v>
      </c>
      <c r="S16" s="6" t="s">
        <v>49</v>
      </c>
      <c r="T16" s="6" t="s">
        <v>96</v>
      </c>
      <c r="U16" s="6">
        <f>AVERAGE(27.4,29.2)</f>
        <v>28.299999999999997</v>
      </c>
      <c r="V16" s="6">
        <v>1.87</v>
      </c>
      <c r="W16" s="6">
        <f>AVERAGE(2.28,2.57)</f>
        <v>2.4249999999999998</v>
      </c>
      <c r="Y16" s="6">
        <f t="shared" ref="Y16:Y77" si="4">U16*25*5/1000</f>
        <v>3.5374999999999996</v>
      </c>
      <c r="Z16" s="10">
        <f t="shared" si="2"/>
        <v>7.1464646464646462</v>
      </c>
      <c r="AA16" s="6" t="s">
        <v>221</v>
      </c>
      <c r="AB16" s="6">
        <f>Y16/M16</f>
        <v>7.1464646464646462</v>
      </c>
      <c r="AC16" s="6">
        <f t="shared" ref="AC16:AC78" si="5">LOG(AB16)</f>
        <v>0.85409124959877791</v>
      </c>
      <c r="AD16" s="23" t="s">
        <v>136</v>
      </c>
      <c r="AE16" s="7">
        <f>AE15/3</f>
        <v>1.0212662937674453</v>
      </c>
      <c r="AF16" s="6">
        <f>AF15/SQRT(5)</f>
        <v>1.2290231319574585</v>
      </c>
      <c r="AG16" s="7">
        <f>AG15/SQRT(8)</f>
        <v>0.76725365114435073</v>
      </c>
      <c r="AH16" s="6">
        <f>AH15/SQRT(8)</f>
        <v>0.4027296041583493</v>
      </c>
      <c r="AI16" s="7">
        <f>AI15/SQRT(8)</f>
        <v>0.72698687514129434</v>
      </c>
      <c r="AJ16" s="6">
        <f>AJ15/SQRT(7)</f>
        <v>1.5556124053353801</v>
      </c>
      <c r="AK16" s="7">
        <f>AK15/SQRT(2)</f>
        <v>2.5063845771731539</v>
      </c>
      <c r="AL16" s="6">
        <f>AL15/SQRT(5)</f>
        <v>2.1103559876357854</v>
      </c>
      <c r="AM16" s="7">
        <f>AM15/SQRT(5)</f>
        <v>0.88845465720930161</v>
      </c>
      <c r="AN16" s="6">
        <f>AN15/2</f>
        <v>0.57178305174132815</v>
      </c>
      <c r="AP16" s="6">
        <v>30</v>
      </c>
      <c r="AQ16" s="6">
        <v>6</v>
      </c>
      <c r="AR16" s="6">
        <v>3</v>
      </c>
      <c r="AS16" s="6" t="s">
        <v>927</v>
      </c>
      <c r="AT16" s="6">
        <v>30</v>
      </c>
      <c r="AU16" s="6">
        <v>12</v>
      </c>
      <c r="AV16" s="6">
        <v>64</v>
      </c>
      <c r="AW16" s="6">
        <v>102</v>
      </c>
    </row>
    <row r="17" spans="1:49" s="6" customFormat="1">
      <c r="A17" s="6" t="s">
        <v>222</v>
      </c>
      <c r="B17" s="6">
        <v>30</v>
      </c>
      <c r="C17" s="6">
        <v>0</v>
      </c>
      <c r="D17" s="6">
        <v>3</v>
      </c>
      <c r="E17" s="21">
        <v>0.32291666666666669</v>
      </c>
      <c r="F17" s="22">
        <v>38527</v>
      </c>
      <c r="G17" s="6">
        <v>108.5</v>
      </c>
      <c r="H17" s="6">
        <v>1.9</v>
      </c>
      <c r="I17" s="6">
        <v>2.0499999999999998</v>
      </c>
      <c r="J17" s="6">
        <v>119.4</v>
      </c>
      <c r="K17" s="6">
        <v>1.83</v>
      </c>
      <c r="L17" s="6">
        <v>0.74</v>
      </c>
      <c r="M17" s="6">
        <f>J17*30/1000</f>
        <v>3.5819999999999999</v>
      </c>
      <c r="N17" s="6" t="s">
        <v>11</v>
      </c>
      <c r="P17" s="6" t="s">
        <v>140</v>
      </c>
      <c r="Q17" s="6">
        <f t="shared" si="0"/>
        <v>1085</v>
      </c>
      <c r="R17" s="6" t="s">
        <v>170</v>
      </c>
      <c r="S17" s="6" t="s">
        <v>50</v>
      </c>
      <c r="T17" s="6" t="s">
        <v>96</v>
      </c>
      <c r="U17" s="6">
        <v>31</v>
      </c>
      <c r="V17" s="6">
        <v>1.77</v>
      </c>
      <c r="W17" s="6">
        <v>1.86</v>
      </c>
      <c r="Y17" s="6">
        <f t="shared" si="4"/>
        <v>3.875</v>
      </c>
      <c r="Z17" s="10">
        <f t="shared" si="2"/>
        <v>1.0817978782802904</v>
      </c>
      <c r="AA17" s="6" t="s">
        <v>222</v>
      </c>
      <c r="AB17" s="6">
        <f>Y17/M17</f>
        <v>1.0817978782802904</v>
      </c>
      <c r="AC17" s="6">
        <f t="shared" si="5"/>
        <v>3.4146125329316393E-2</v>
      </c>
      <c r="AD17" s="6" t="s">
        <v>536</v>
      </c>
      <c r="AP17" s="6">
        <v>27</v>
      </c>
      <c r="AQ17" s="6">
        <v>12</v>
      </c>
      <c r="AR17" s="6">
        <v>4.8</v>
      </c>
      <c r="AS17" s="6">
        <v>7.4</v>
      </c>
      <c r="AT17" s="6">
        <v>30</v>
      </c>
      <c r="AU17" s="6">
        <v>12</v>
      </c>
      <c r="AV17" s="6">
        <v>28</v>
      </c>
      <c r="AW17" s="6">
        <v>182</v>
      </c>
    </row>
    <row r="18" spans="1:49" s="6" customFormat="1">
      <c r="A18" s="6" t="s">
        <v>223</v>
      </c>
      <c r="B18" s="6">
        <v>30</v>
      </c>
      <c r="C18" s="6">
        <v>0</v>
      </c>
      <c r="D18" s="6">
        <v>3</v>
      </c>
      <c r="E18" s="21">
        <v>0.32291666666666669</v>
      </c>
      <c r="F18" s="22">
        <v>38527</v>
      </c>
      <c r="G18" s="6">
        <f>AVERAGE(326.3,335.9)</f>
        <v>331.1</v>
      </c>
      <c r="H18" s="6">
        <v>1.91</v>
      </c>
      <c r="I18" s="6">
        <v>2.06</v>
      </c>
      <c r="J18" s="6">
        <v>149.69999999999999</v>
      </c>
      <c r="K18" s="6">
        <v>1.82</v>
      </c>
      <c r="L18" s="6">
        <v>0.99</v>
      </c>
      <c r="M18" s="6">
        <f>J18*30/1000</f>
        <v>4.4909999999999997</v>
      </c>
      <c r="N18" s="6" t="s">
        <v>11</v>
      </c>
      <c r="P18" s="6" t="s">
        <v>140</v>
      </c>
      <c r="Q18" s="6">
        <f t="shared" si="0"/>
        <v>3311</v>
      </c>
      <c r="R18" s="6" t="s">
        <v>170</v>
      </c>
      <c r="S18" s="6" t="s">
        <v>51</v>
      </c>
      <c r="T18" s="6" t="s">
        <v>96</v>
      </c>
      <c r="U18" s="6">
        <f>AVERAGE(90,84.8)</f>
        <v>87.4</v>
      </c>
      <c r="V18" s="6">
        <v>1.92</v>
      </c>
      <c r="W18" s="6">
        <v>2.84</v>
      </c>
      <c r="Y18" s="6">
        <f t="shared" si="4"/>
        <v>10.925000000000001</v>
      </c>
      <c r="Z18" s="10">
        <f t="shared" si="2"/>
        <v>2.4326430639055894</v>
      </c>
      <c r="AA18" s="6" t="s">
        <v>223</v>
      </c>
      <c r="AB18" s="6">
        <f>Y18/M18</f>
        <v>2.4326430639055894</v>
      </c>
      <c r="AC18" s="6">
        <f t="shared" si="5"/>
        <v>0.38607839057974475</v>
      </c>
      <c r="AD18" s="7">
        <v>27</v>
      </c>
      <c r="AE18" s="23" t="s">
        <v>132</v>
      </c>
      <c r="AF18" s="23" t="s">
        <v>135</v>
      </c>
      <c r="AG18" s="23" t="s">
        <v>136</v>
      </c>
      <c r="AH18" s="23" t="s">
        <v>431</v>
      </c>
      <c r="AI18" s="23" t="s">
        <v>135</v>
      </c>
      <c r="AJ18" s="23" t="s">
        <v>136</v>
      </c>
      <c r="AK18" s="23" t="s">
        <v>538</v>
      </c>
      <c r="AL18" s="23" t="s">
        <v>539</v>
      </c>
      <c r="AM18" s="23" t="s">
        <v>540</v>
      </c>
      <c r="AP18" s="6">
        <v>27</v>
      </c>
      <c r="AQ18" s="6">
        <v>12</v>
      </c>
      <c r="AR18" s="6">
        <v>3.7</v>
      </c>
      <c r="AS18" s="6">
        <v>13.5</v>
      </c>
      <c r="AT18" s="6">
        <v>30</v>
      </c>
      <c r="AU18" s="6">
        <v>12</v>
      </c>
      <c r="AV18" s="6">
        <v>14</v>
      </c>
      <c r="AW18" s="6">
        <v>131</v>
      </c>
    </row>
    <row r="19" spans="1:49" s="6" customFormat="1">
      <c r="A19" s="6" t="s">
        <v>224</v>
      </c>
      <c r="B19" s="6">
        <v>30</v>
      </c>
      <c r="C19" s="6">
        <v>0</v>
      </c>
      <c r="D19" s="6">
        <v>3</v>
      </c>
      <c r="E19" s="21">
        <v>0.32291666666666669</v>
      </c>
      <c r="F19" s="22">
        <v>38527</v>
      </c>
      <c r="G19" s="6">
        <v>117.8</v>
      </c>
      <c r="H19" s="6">
        <v>1.78</v>
      </c>
      <c r="I19" s="6">
        <v>2.0099999999999998</v>
      </c>
      <c r="J19" s="6">
        <v>49.5</v>
      </c>
      <c r="K19" s="6">
        <v>1.97</v>
      </c>
      <c r="L19" s="6">
        <v>0.22</v>
      </c>
      <c r="M19" s="6">
        <f>J19*30/1000</f>
        <v>1.4850000000000001</v>
      </c>
      <c r="N19" s="6" t="s">
        <v>11</v>
      </c>
      <c r="P19" s="6" t="s">
        <v>140</v>
      </c>
      <c r="Q19" s="6">
        <f t="shared" si="0"/>
        <v>1178</v>
      </c>
      <c r="R19" s="6" t="s">
        <v>170</v>
      </c>
      <c r="S19" s="6" t="s">
        <v>52</v>
      </c>
      <c r="T19" s="6" t="s">
        <v>96</v>
      </c>
      <c r="U19" s="6">
        <v>20.399999999999999</v>
      </c>
      <c r="V19" s="6">
        <v>1.85</v>
      </c>
      <c r="W19" s="6">
        <f>AVERAGE(1.44,4.14)</f>
        <v>2.79</v>
      </c>
      <c r="Y19" s="6">
        <f t="shared" si="4"/>
        <v>2.5499999999999994</v>
      </c>
      <c r="Z19" s="10">
        <f t="shared" si="2"/>
        <v>1.7171717171717167</v>
      </c>
      <c r="AA19" s="6" t="s">
        <v>224</v>
      </c>
      <c r="AB19" s="6">
        <f>Y19/M19</f>
        <v>1.7171717171717167</v>
      </c>
      <c r="AC19" s="6">
        <f t="shared" si="5"/>
        <v>0.2348137267807239</v>
      </c>
      <c r="AD19" s="7">
        <v>0</v>
      </c>
      <c r="AE19" s="7">
        <v>3.5</v>
      </c>
      <c r="AF19" s="7">
        <v>3.1</v>
      </c>
      <c r="AG19" s="7">
        <v>1</v>
      </c>
      <c r="AH19" s="7">
        <f>AVERAGE(AC4:AC12)</f>
        <v>0.35453749980491123</v>
      </c>
      <c r="AI19" s="7">
        <f>STDEV(AC4:AC12)</f>
        <v>0.48266742153419312</v>
      </c>
      <c r="AJ19" s="7">
        <f>AI19/3</f>
        <v>0.16088914051139772</v>
      </c>
      <c r="AK19" s="7">
        <f>10^AH19</f>
        <v>2.2622338672946003</v>
      </c>
      <c r="AL19" s="7">
        <f>10^(AH19+AJ19)-AK19</f>
        <v>1.014390376752702</v>
      </c>
      <c r="AM19" s="7">
        <v>0.7</v>
      </c>
      <c r="AP19" s="6">
        <v>27</v>
      </c>
      <c r="AQ19" s="6">
        <v>12</v>
      </c>
      <c r="AR19" s="6">
        <v>1.1000000000000001</v>
      </c>
      <c r="AS19" s="6">
        <f>AVERAGE(AR36:AR38)</f>
        <v>3.2666666666666671</v>
      </c>
      <c r="AT19" s="6">
        <v>30</v>
      </c>
      <c r="AU19" s="6">
        <v>12</v>
      </c>
      <c r="AV19" s="6">
        <v>27</v>
      </c>
      <c r="AW19" s="6">
        <v>35</v>
      </c>
    </row>
    <row r="20" spans="1:49" s="7" customFormat="1">
      <c r="A20" s="7" t="s">
        <v>225</v>
      </c>
      <c r="B20" s="7">
        <v>27</v>
      </c>
      <c r="C20" s="7">
        <v>6</v>
      </c>
      <c r="D20" s="7">
        <v>1</v>
      </c>
      <c r="E20" s="19">
        <v>0.57291666666666663</v>
      </c>
      <c r="F20" s="20">
        <v>38527</v>
      </c>
      <c r="G20" s="7">
        <v>40.4</v>
      </c>
      <c r="H20" s="7">
        <v>1.53</v>
      </c>
      <c r="I20" s="7">
        <v>1.07</v>
      </c>
      <c r="J20" s="7" t="s">
        <v>522</v>
      </c>
      <c r="M20" s="7" t="s">
        <v>272</v>
      </c>
      <c r="N20" s="7" t="s">
        <v>11</v>
      </c>
      <c r="P20" s="7" t="s">
        <v>140</v>
      </c>
      <c r="Q20" s="7">
        <f t="shared" si="0"/>
        <v>404</v>
      </c>
      <c r="R20" s="7" t="s">
        <v>170</v>
      </c>
      <c r="S20" s="7" t="s">
        <v>53</v>
      </c>
      <c r="T20" s="7" t="s">
        <v>96</v>
      </c>
      <c r="U20" s="7">
        <v>9.8000000000000007</v>
      </c>
      <c r="V20" s="7">
        <v>1.74</v>
      </c>
      <c r="W20" s="7">
        <f>AVERAGE(0.88,1.44)</f>
        <v>1.1599999999999999</v>
      </c>
      <c r="Y20" s="7">
        <f t="shared" si="4"/>
        <v>1.2250000000000003</v>
      </c>
      <c r="Z20" s="10" t="s">
        <v>927</v>
      </c>
      <c r="AA20" s="7" t="s">
        <v>225</v>
      </c>
      <c r="AB20" s="7" t="s">
        <v>522</v>
      </c>
      <c r="AC20" s="7" t="s">
        <v>272</v>
      </c>
      <c r="AD20" s="7">
        <v>6</v>
      </c>
      <c r="AE20" s="7">
        <v>3.3</v>
      </c>
      <c r="AF20" s="7">
        <v>2.2000000000000002</v>
      </c>
      <c r="AG20" s="7">
        <v>0.8</v>
      </c>
      <c r="AH20" s="7">
        <f>AVERAGE(AC21:AC28)</f>
        <v>0.43871958323032889</v>
      </c>
      <c r="AI20" s="7">
        <f>STDEV(AC21:AC28)</f>
        <v>0.27767590316726043</v>
      </c>
      <c r="AJ20" s="7">
        <f>AI20/SQRT(8)</f>
        <v>9.8173257050834489E-2</v>
      </c>
      <c r="AK20" s="7">
        <f t="shared" ref="AK20:AK23" si="6">10^AH20</f>
        <v>2.7461204559454369</v>
      </c>
      <c r="AL20" s="7">
        <f t="shared" ref="AL20:AL21" si="7">10^(AH20+AJ20)-AK20</f>
        <v>0.69652929243297956</v>
      </c>
      <c r="AM20" s="7">
        <v>0.56000000000000005</v>
      </c>
      <c r="AP20" s="7">
        <v>27</v>
      </c>
      <c r="AQ20" s="7">
        <v>12</v>
      </c>
      <c r="AR20" s="7">
        <v>4.8</v>
      </c>
      <c r="AS20" s="7">
        <f>AVERAGE(AR39:AR40)</f>
        <v>5.65</v>
      </c>
      <c r="AT20" s="7">
        <v>30</v>
      </c>
      <c r="AU20" s="7">
        <v>12</v>
      </c>
      <c r="AV20" s="7">
        <v>73</v>
      </c>
      <c r="AW20" s="7">
        <v>47</v>
      </c>
    </row>
    <row r="21" spans="1:49" s="7" customFormat="1">
      <c r="A21" s="7" t="s">
        <v>226</v>
      </c>
      <c r="B21" s="7">
        <v>27</v>
      </c>
      <c r="C21" s="7">
        <v>6</v>
      </c>
      <c r="D21" s="7">
        <v>1</v>
      </c>
      <c r="E21" s="19">
        <v>0.57291666666666663</v>
      </c>
      <c r="F21" s="20">
        <v>38527</v>
      </c>
      <c r="G21" s="7">
        <f>AVERAGE(142.3,140.5)</f>
        <v>141.4</v>
      </c>
      <c r="H21" s="7">
        <v>1.84</v>
      </c>
      <c r="I21" s="7">
        <v>2.34</v>
      </c>
      <c r="J21" s="7">
        <v>51.2</v>
      </c>
      <c r="K21" s="7">
        <v>1.86</v>
      </c>
      <c r="L21" s="7">
        <v>0.63</v>
      </c>
      <c r="M21" s="7">
        <f t="shared" si="3"/>
        <v>1.536</v>
      </c>
      <c r="N21" s="7" t="s">
        <v>11</v>
      </c>
      <c r="P21" s="7" t="s">
        <v>140</v>
      </c>
      <c r="Q21" s="7">
        <f t="shared" si="0"/>
        <v>1414</v>
      </c>
      <c r="R21" s="7" t="s">
        <v>170</v>
      </c>
      <c r="S21" s="7" t="s">
        <v>54</v>
      </c>
      <c r="T21" s="7" t="s">
        <v>96</v>
      </c>
      <c r="U21" s="7">
        <v>24.9</v>
      </c>
      <c r="V21" s="7">
        <v>1.91</v>
      </c>
      <c r="W21" s="7">
        <f>AVERAGE(2.67,1.59)</f>
        <v>2.13</v>
      </c>
      <c r="Y21" s="7">
        <f t="shared" si="4"/>
        <v>3.1124999999999998</v>
      </c>
      <c r="Z21" s="10">
        <f t="shared" si="2"/>
        <v>2.0263671875</v>
      </c>
      <c r="AA21" s="7" t="s">
        <v>226</v>
      </c>
      <c r="AB21" s="7">
        <f t="shared" ref="AB21:AB28" si="8">Y21/M21</f>
        <v>2.0263671875</v>
      </c>
      <c r="AC21" s="7">
        <f t="shared" si="5"/>
        <v>0.30671814440829959</v>
      </c>
      <c r="AD21" s="7">
        <v>12</v>
      </c>
      <c r="AE21" s="7">
        <v>4.0999999999999996</v>
      </c>
      <c r="AF21" s="7">
        <v>2.1</v>
      </c>
      <c r="AG21" s="7">
        <v>0.7</v>
      </c>
      <c r="AH21" s="7">
        <f>AVERAGE(AC38:AC46)</f>
        <v>0.55485491613697568</v>
      </c>
      <c r="AI21" s="7">
        <f>STDEV(AC38:AC46)</f>
        <v>0.2642259720888343</v>
      </c>
      <c r="AJ21" s="7">
        <f>AI21/SQRT(8)</f>
        <v>9.3417988314811073E-2</v>
      </c>
      <c r="AK21" s="7">
        <f t="shared" si="6"/>
        <v>3.5880205035945676</v>
      </c>
      <c r="AL21" s="7">
        <f t="shared" si="7"/>
        <v>0.86108704853762097</v>
      </c>
      <c r="AM21" s="7">
        <v>0.69</v>
      </c>
      <c r="AP21" s="7">
        <v>27</v>
      </c>
      <c r="AQ21" s="7">
        <v>12</v>
      </c>
      <c r="AR21" s="7">
        <v>7.4</v>
      </c>
      <c r="AS21" s="7">
        <v>2.8</v>
      </c>
      <c r="AT21" s="7">
        <v>27</v>
      </c>
      <c r="AU21" s="7">
        <v>24</v>
      </c>
      <c r="AV21" s="7">
        <v>54</v>
      </c>
      <c r="AW21" s="7">
        <v>25</v>
      </c>
    </row>
    <row r="22" spans="1:49" s="7" customFormat="1">
      <c r="A22" s="7" t="s">
        <v>55</v>
      </c>
      <c r="B22" s="7">
        <v>27</v>
      </c>
      <c r="C22" s="7">
        <v>6</v>
      </c>
      <c r="D22" s="7">
        <v>1</v>
      </c>
      <c r="E22" s="19">
        <v>0.57291666666666663</v>
      </c>
      <c r="F22" s="20">
        <v>38527</v>
      </c>
      <c r="G22" s="7">
        <f>AVERAGE(149.5,147.1)</f>
        <v>148.30000000000001</v>
      </c>
      <c r="H22" s="7">
        <v>1.81</v>
      </c>
      <c r="I22" s="7">
        <v>2.25</v>
      </c>
      <c r="J22" s="7">
        <v>16.100000000000001</v>
      </c>
      <c r="K22" s="7">
        <v>1.74</v>
      </c>
      <c r="L22" s="7">
        <v>0.27</v>
      </c>
      <c r="M22" s="7">
        <f t="shared" si="3"/>
        <v>0.48300000000000004</v>
      </c>
      <c r="N22" s="7" t="s">
        <v>137</v>
      </c>
      <c r="P22" s="7" t="s">
        <v>140</v>
      </c>
      <c r="Q22" s="7">
        <f t="shared" si="0"/>
        <v>1483</v>
      </c>
      <c r="R22" s="7" t="s">
        <v>170</v>
      </c>
      <c r="S22" s="7" t="s">
        <v>85</v>
      </c>
      <c r="T22" s="7" t="s">
        <v>96</v>
      </c>
      <c r="U22" s="7">
        <f>AVERAGE(19.3,16.9)</f>
        <v>18.100000000000001</v>
      </c>
      <c r="V22" s="7">
        <v>1.81</v>
      </c>
      <c r="W22" s="7">
        <v>1.51</v>
      </c>
      <c r="Y22" s="7">
        <f t="shared" si="4"/>
        <v>2.2625000000000006</v>
      </c>
      <c r="Z22" s="10">
        <f t="shared" si="2"/>
        <v>4.6842650103519681</v>
      </c>
      <c r="AA22" s="7" t="s">
        <v>55</v>
      </c>
      <c r="AB22" s="7">
        <f t="shared" si="8"/>
        <v>4.6842650103519681</v>
      </c>
      <c r="AC22" s="7">
        <f t="shared" si="5"/>
        <v>0.67064145712572887</v>
      </c>
      <c r="AD22" s="7">
        <v>24</v>
      </c>
      <c r="AE22" s="7">
        <v>4</v>
      </c>
      <c r="AF22" s="7">
        <v>3.5</v>
      </c>
      <c r="AG22" s="7">
        <v>2.5</v>
      </c>
      <c r="AH22" s="7">
        <f>AVERAGE(AC56:AC58)</f>
        <v>0.48519530807833861</v>
      </c>
      <c r="AI22" s="7">
        <f>STDEV(AC56:AC58)</f>
        <v>0.45957376877748413</v>
      </c>
      <c r="AJ22" s="7">
        <f>AI22/SQRT(2)</f>
        <v>0.3249677283580174</v>
      </c>
      <c r="AK22" s="7">
        <f t="shared" si="6"/>
        <v>3.0562952613523744</v>
      </c>
      <c r="AL22" s="7">
        <f>AVERAGE(AL19:AL21)</f>
        <v>0.85733557257443416</v>
      </c>
      <c r="AM22" s="7">
        <v>0.65</v>
      </c>
      <c r="AP22" s="7">
        <v>27</v>
      </c>
      <c r="AQ22" s="7">
        <v>12</v>
      </c>
      <c r="AR22" s="7">
        <v>2.4</v>
      </c>
      <c r="AS22" s="7">
        <v>3.8</v>
      </c>
      <c r="AT22" s="7">
        <v>30</v>
      </c>
      <c r="AU22" s="7">
        <v>24</v>
      </c>
      <c r="AV22" s="7">
        <v>102</v>
      </c>
      <c r="AW22" s="7">
        <v>35</v>
      </c>
    </row>
    <row r="23" spans="1:49" s="7" customFormat="1">
      <c r="A23" s="7" t="s">
        <v>56</v>
      </c>
      <c r="B23" s="7">
        <v>27</v>
      </c>
      <c r="C23" s="7">
        <v>6</v>
      </c>
      <c r="D23" s="7">
        <v>2</v>
      </c>
      <c r="E23" s="19">
        <v>0.57291666666666663</v>
      </c>
      <c r="F23" s="20">
        <v>38527</v>
      </c>
      <c r="G23" s="7">
        <f>AVERAGE(347.6,353.6)</f>
        <v>350.6</v>
      </c>
      <c r="H23" s="7">
        <v>1.91</v>
      </c>
      <c r="I23" s="7">
        <v>1.85</v>
      </c>
      <c r="J23" s="7">
        <v>143</v>
      </c>
      <c r="K23" s="7">
        <v>1.82</v>
      </c>
      <c r="L23" s="7">
        <v>1.54</v>
      </c>
      <c r="M23" s="7">
        <f t="shared" si="3"/>
        <v>4.29</v>
      </c>
      <c r="N23" s="7" t="s">
        <v>11</v>
      </c>
      <c r="P23" s="7" t="s">
        <v>140</v>
      </c>
      <c r="Q23" s="7">
        <f t="shared" si="0"/>
        <v>3506</v>
      </c>
      <c r="R23" s="7" t="s">
        <v>170</v>
      </c>
      <c r="T23" s="7" t="s">
        <v>96</v>
      </c>
      <c r="U23" s="7">
        <v>80.5</v>
      </c>
      <c r="V23" s="7">
        <v>1.93</v>
      </c>
      <c r="W23" s="7">
        <v>3</v>
      </c>
      <c r="Y23" s="7">
        <f t="shared" si="4"/>
        <v>10.0625</v>
      </c>
      <c r="Z23" s="10">
        <f t="shared" si="2"/>
        <v>2.3455710955710956</v>
      </c>
      <c r="AA23" s="7" t="s">
        <v>56</v>
      </c>
      <c r="AB23" s="7">
        <f t="shared" si="8"/>
        <v>2.3455710955710956</v>
      </c>
      <c r="AC23" s="7">
        <f t="shared" si="5"/>
        <v>0.37024860119120068</v>
      </c>
      <c r="AD23" s="7">
        <v>48</v>
      </c>
      <c r="AE23" s="7">
        <v>3.8</v>
      </c>
      <c r="AF23" s="7">
        <v>2</v>
      </c>
      <c r="AG23" s="7">
        <v>0.9</v>
      </c>
      <c r="AH23" s="7">
        <f>AVERAGE(AC74:AC78)</f>
        <v>0.50555174402981218</v>
      </c>
      <c r="AI23" s="7">
        <f>STDEV(AC74:AC78)</f>
        <v>0.30692745759564155</v>
      </c>
      <c r="AJ23" s="7">
        <f>AI23/SQRT(5)</f>
        <v>0.13726213186900774</v>
      </c>
      <c r="AK23" s="7">
        <f t="shared" si="6"/>
        <v>3.2029616888679926</v>
      </c>
      <c r="AL23" s="7">
        <f>10^(AH23+AJ23)-AK23</f>
        <v>1.1905711406315489</v>
      </c>
      <c r="AM23" s="7">
        <v>0.87</v>
      </c>
      <c r="AP23" s="7">
        <v>27</v>
      </c>
      <c r="AQ23" s="7">
        <v>12</v>
      </c>
      <c r="AR23" s="7">
        <v>6</v>
      </c>
      <c r="AS23" s="7">
        <v>2.4</v>
      </c>
      <c r="AT23" s="7">
        <v>30</v>
      </c>
      <c r="AU23" s="7">
        <v>24</v>
      </c>
      <c r="AV23" s="7">
        <v>182</v>
      </c>
      <c r="AW23" s="7" t="s">
        <v>927</v>
      </c>
    </row>
    <row r="24" spans="1:49" s="7" customFormat="1">
      <c r="A24" s="7" t="s">
        <v>57</v>
      </c>
      <c r="B24" s="7">
        <v>27</v>
      </c>
      <c r="C24" s="7">
        <v>6</v>
      </c>
      <c r="D24" s="7">
        <v>2</v>
      </c>
      <c r="E24" s="19">
        <v>0.57291666666666663</v>
      </c>
      <c r="F24" s="20">
        <v>38527</v>
      </c>
      <c r="G24" s="7">
        <v>265.3</v>
      </c>
      <c r="H24" s="7">
        <v>1.97</v>
      </c>
      <c r="I24" s="7">
        <v>2.71</v>
      </c>
      <c r="J24" s="7">
        <v>86</v>
      </c>
      <c r="K24" s="7">
        <v>1.79</v>
      </c>
      <c r="L24" s="7">
        <v>0.47</v>
      </c>
      <c r="M24" s="7">
        <f t="shared" si="3"/>
        <v>2.58</v>
      </c>
      <c r="N24" s="7" t="s">
        <v>143</v>
      </c>
      <c r="P24" s="7" t="s">
        <v>140</v>
      </c>
      <c r="Q24" s="7">
        <f t="shared" si="0"/>
        <v>2653</v>
      </c>
      <c r="R24" s="7" t="s">
        <v>170</v>
      </c>
      <c r="T24" s="7" t="s">
        <v>96</v>
      </c>
      <c r="U24" s="7">
        <v>70.099999999999994</v>
      </c>
      <c r="V24" s="7">
        <v>1.91</v>
      </c>
      <c r="W24" s="7">
        <v>2.56</v>
      </c>
      <c r="Y24" s="7">
        <f t="shared" si="4"/>
        <v>8.7624999999999975</v>
      </c>
      <c r="Z24" s="10">
        <f t="shared" si="2"/>
        <v>3.3963178294573635</v>
      </c>
      <c r="AA24" s="7" t="s">
        <v>57</v>
      </c>
      <c r="AB24" s="7">
        <f t="shared" si="8"/>
        <v>3.3963178294573635</v>
      </c>
      <c r="AC24" s="7">
        <f t="shared" si="5"/>
        <v>0.53100832501148476</v>
      </c>
      <c r="AP24" s="7">
        <v>27</v>
      </c>
      <c r="AQ24" s="7">
        <v>12</v>
      </c>
      <c r="AR24" s="7">
        <v>2.7</v>
      </c>
      <c r="AS24" s="7">
        <f>AVERAGE(AR45:AR46)</f>
        <v>2.4500000000000002</v>
      </c>
      <c r="AT24" s="7">
        <v>30</v>
      </c>
      <c r="AU24" s="7">
        <v>24</v>
      </c>
      <c r="AV24" s="7">
        <v>131</v>
      </c>
      <c r="AW24" s="7" t="s">
        <v>927</v>
      </c>
    </row>
    <row r="25" spans="1:49" s="7" customFormat="1">
      <c r="A25" s="7" t="s">
        <v>58</v>
      </c>
      <c r="B25" s="7">
        <v>27</v>
      </c>
      <c r="C25" s="7">
        <v>6</v>
      </c>
      <c r="D25" s="7">
        <v>2</v>
      </c>
      <c r="E25" s="19">
        <v>0.57291666666666663</v>
      </c>
      <c r="F25" s="20">
        <v>38527</v>
      </c>
      <c r="G25" s="7">
        <f>AVERAGE(332.4,328.5)</f>
        <v>330.45</v>
      </c>
      <c r="H25" s="7">
        <v>1.87</v>
      </c>
      <c r="I25" s="7">
        <v>2.73</v>
      </c>
      <c r="J25" s="7">
        <v>38.5</v>
      </c>
      <c r="K25" s="7">
        <v>1.79</v>
      </c>
      <c r="L25" s="7">
        <v>0.22</v>
      </c>
      <c r="M25" s="7">
        <f t="shared" si="3"/>
        <v>1.155</v>
      </c>
      <c r="N25" s="7" t="s">
        <v>143</v>
      </c>
      <c r="P25" s="7" t="s">
        <v>140</v>
      </c>
      <c r="Q25" s="7">
        <f t="shared" si="0"/>
        <v>3304.5</v>
      </c>
      <c r="R25" s="7" t="s">
        <v>170</v>
      </c>
      <c r="T25" s="7" t="s">
        <v>96</v>
      </c>
      <c r="U25" s="7">
        <v>72</v>
      </c>
      <c r="V25" s="7">
        <v>1.87</v>
      </c>
      <c r="W25" s="7">
        <f>AVERAGE(2.21,3.01)</f>
        <v>2.61</v>
      </c>
      <c r="Y25" s="7">
        <f t="shared" si="4"/>
        <v>9</v>
      </c>
      <c r="Z25" s="10">
        <f t="shared" si="2"/>
        <v>7.7922077922077921</v>
      </c>
      <c r="AA25" s="7" t="s">
        <v>58</v>
      </c>
      <c r="AB25" s="7">
        <f t="shared" si="8"/>
        <v>7.7922077922077921</v>
      </c>
      <c r="AC25" s="7">
        <f t="shared" si="5"/>
        <v>0.89166052521116179</v>
      </c>
      <c r="AD25" s="6">
        <v>30</v>
      </c>
      <c r="AE25" s="6" t="s">
        <v>132</v>
      </c>
      <c r="AF25" s="6" t="s">
        <v>135</v>
      </c>
      <c r="AG25" s="6" t="s">
        <v>136</v>
      </c>
      <c r="AH25" s="23" t="s">
        <v>431</v>
      </c>
      <c r="AI25" s="23" t="s">
        <v>135</v>
      </c>
      <c r="AJ25" s="23" t="s">
        <v>136</v>
      </c>
      <c r="AK25" s="23" t="s">
        <v>538</v>
      </c>
      <c r="AL25" s="23" t="s">
        <v>539</v>
      </c>
      <c r="AM25" s="23" t="s">
        <v>540</v>
      </c>
      <c r="AP25" s="7">
        <v>30</v>
      </c>
      <c r="AQ25" s="7">
        <v>12</v>
      </c>
      <c r="AR25" s="7">
        <v>2.2999999999999998</v>
      </c>
      <c r="AS25" s="7">
        <v>1.1000000000000001</v>
      </c>
      <c r="AT25" s="7">
        <v>27</v>
      </c>
      <c r="AU25" s="7">
        <v>48</v>
      </c>
      <c r="AV25" s="7">
        <v>40</v>
      </c>
    </row>
    <row r="26" spans="1:49" s="7" customFormat="1">
      <c r="A26" s="7" t="s">
        <v>59</v>
      </c>
      <c r="B26" s="7">
        <v>27</v>
      </c>
      <c r="C26" s="7">
        <v>6</v>
      </c>
      <c r="D26" s="7">
        <v>3</v>
      </c>
      <c r="E26" s="19">
        <v>0.57291666666666663</v>
      </c>
      <c r="F26" s="20">
        <v>38527</v>
      </c>
      <c r="G26" s="7">
        <f>AVERAGE(219.6,221.9)</f>
        <v>220.75</v>
      </c>
      <c r="H26" s="7">
        <v>1.99</v>
      </c>
      <c r="I26" s="7">
        <v>2.69</v>
      </c>
      <c r="J26" s="7">
        <v>142.80000000000001</v>
      </c>
      <c r="K26" s="7">
        <v>1.81</v>
      </c>
      <c r="L26" s="7">
        <v>1.37</v>
      </c>
      <c r="M26" s="7">
        <f t="shared" si="3"/>
        <v>4.2839999999999998</v>
      </c>
      <c r="N26" s="7" t="s">
        <v>143</v>
      </c>
      <c r="P26" s="7" t="s">
        <v>140</v>
      </c>
      <c r="Q26" s="7">
        <f t="shared" si="0"/>
        <v>2207.5</v>
      </c>
      <c r="R26" s="7" t="s">
        <v>47</v>
      </c>
      <c r="T26" s="7" t="s">
        <v>96</v>
      </c>
      <c r="U26" s="7">
        <f>AVERAGE(39.6,34)</f>
        <v>36.799999999999997</v>
      </c>
      <c r="V26" s="7">
        <v>1.86</v>
      </c>
      <c r="W26" s="7" t="s">
        <v>272</v>
      </c>
      <c r="X26" s="7" t="s">
        <v>44</v>
      </c>
      <c r="Y26" s="7">
        <f t="shared" si="4"/>
        <v>4.5999999999999988</v>
      </c>
      <c r="Z26" s="10">
        <f t="shared" si="2"/>
        <v>1.0737628384687206</v>
      </c>
      <c r="AA26" s="7" t="s">
        <v>59</v>
      </c>
      <c r="AB26" s="7">
        <f t="shared" si="8"/>
        <v>1.0737628384687206</v>
      </c>
      <c r="AC26" s="7">
        <f t="shared" si="5"/>
        <v>3.0908369521755946E-2</v>
      </c>
      <c r="AD26" s="6">
        <v>0</v>
      </c>
      <c r="AE26" s="6">
        <v>3.1</v>
      </c>
      <c r="AF26" s="6">
        <v>2.7</v>
      </c>
      <c r="AG26" s="6">
        <v>1.2</v>
      </c>
      <c r="AH26" s="6">
        <f>AVERAGE(AC14:AC19)</f>
        <v>0.35148611545404163</v>
      </c>
      <c r="AI26" s="6">
        <f>STDEV(AC14:AC19)</f>
        <v>0.30772260742904012</v>
      </c>
      <c r="AJ26" s="6">
        <f>AI26/SQRT(5)</f>
        <v>0.13761773368496311</v>
      </c>
      <c r="AK26" s="6">
        <f>10^AH26</f>
        <v>2.2463949568140862</v>
      </c>
      <c r="AL26" s="6">
        <f>10^(AH26+AJ26)-AK26</f>
        <v>0.83753033805313182</v>
      </c>
      <c r="AM26" s="6">
        <v>0.61</v>
      </c>
      <c r="AP26" s="7">
        <v>30</v>
      </c>
      <c r="AQ26" s="7">
        <v>12</v>
      </c>
      <c r="AR26" s="7">
        <v>12</v>
      </c>
      <c r="AT26" s="7">
        <v>27</v>
      </c>
      <c r="AU26" s="7">
        <v>48</v>
      </c>
      <c r="AV26" s="7">
        <v>30</v>
      </c>
    </row>
    <row r="27" spans="1:49" s="7" customFormat="1">
      <c r="A27" s="7" t="s">
        <v>182</v>
      </c>
      <c r="B27" s="7">
        <v>27</v>
      </c>
      <c r="C27" s="7">
        <v>6</v>
      </c>
      <c r="D27" s="7">
        <v>3</v>
      </c>
      <c r="E27" s="19">
        <v>0.57291666666666663</v>
      </c>
      <c r="F27" s="20">
        <v>38527</v>
      </c>
      <c r="G27" s="7">
        <f>AVERAGE(246.4,250.3)</f>
        <v>248.35000000000002</v>
      </c>
      <c r="H27" s="7">
        <v>1.98</v>
      </c>
      <c r="I27" s="7">
        <v>2.48</v>
      </c>
      <c r="J27" s="7">
        <v>83.9</v>
      </c>
      <c r="K27" s="7">
        <v>1.8</v>
      </c>
      <c r="L27" s="7">
        <v>0.62</v>
      </c>
      <c r="M27" s="7">
        <f t="shared" si="3"/>
        <v>2.5169999999999999</v>
      </c>
      <c r="N27" s="7" t="s">
        <v>143</v>
      </c>
      <c r="P27" s="7" t="s">
        <v>140</v>
      </c>
      <c r="Q27" s="7">
        <f t="shared" si="0"/>
        <v>2483.5</v>
      </c>
      <c r="R27" s="7" t="s">
        <v>47</v>
      </c>
      <c r="T27" s="7" t="s">
        <v>96</v>
      </c>
      <c r="U27" s="7">
        <f>AVERAGE(68.8,71.1)</f>
        <v>69.949999999999989</v>
      </c>
      <c r="V27" s="7">
        <v>1.8</v>
      </c>
      <c r="W27" s="7">
        <f>AVERAGE(2.98,2.14)</f>
        <v>2.56</v>
      </c>
      <c r="X27" s="7" t="s">
        <v>44</v>
      </c>
      <c r="Y27" s="7">
        <f t="shared" si="4"/>
        <v>8.7437499999999986</v>
      </c>
      <c r="Z27" s="10">
        <f t="shared" si="2"/>
        <v>3.4738776321017077</v>
      </c>
      <c r="AA27" s="7" t="s">
        <v>182</v>
      </c>
      <c r="AB27" s="7">
        <f t="shared" si="8"/>
        <v>3.4738776321017077</v>
      </c>
      <c r="AC27" s="7">
        <f t="shared" si="5"/>
        <v>0.54081451628754007</v>
      </c>
      <c r="AD27" s="6">
        <v>6</v>
      </c>
      <c r="AE27" s="6">
        <v>2.6</v>
      </c>
      <c r="AF27" s="6">
        <v>1.1000000000000001</v>
      </c>
      <c r="AG27" s="6">
        <v>0.4</v>
      </c>
      <c r="AH27" s="6">
        <f>AVERAGE(AC29:AC37)</f>
        <v>0.3781316792043416</v>
      </c>
      <c r="AI27" s="6">
        <f>STDEV(AC29:AC37)</f>
        <v>0.1855159576256131</v>
      </c>
      <c r="AJ27" s="6">
        <f>AI27/SQRT(8)</f>
        <v>6.5589795827693601E-2</v>
      </c>
      <c r="AK27" s="6">
        <f t="shared" ref="AK27:AK30" si="9">10^AH27</f>
        <v>2.3885353832069232</v>
      </c>
      <c r="AL27" s="6">
        <f t="shared" ref="AL27:AL30" si="10">10^(AH27+AJ27)-AK27</f>
        <v>0.38939574968754753</v>
      </c>
      <c r="AM27" s="6">
        <v>0.33</v>
      </c>
      <c r="AP27" s="7">
        <v>30</v>
      </c>
      <c r="AQ27" s="7">
        <v>12</v>
      </c>
      <c r="AR27" s="7">
        <v>4.0999999999999996</v>
      </c>
      <c r="AT27" s="7">
        <v>27</v>
      </c>
      <c r="AU27" s="7">
        <v>48</v>
      </c>
      <c r="AV27" s="7">
        <v>47</v>
      </c>
    </row>
    <row r="28" spans="1:49" s="7" customFormat="1">
      <c r="A28" s="7" t="s">
        <v>183</v>
      </c>
      <c r="B28" s="7">
        <v>27</v>
      </c>
      <c r="C28" s="7">
        <v>6</v>
      </c>
      <c r="D28" s="7">
        <v>3</v>
      </c>
      <c r="E28" s="19">
        <v>0.57291666666666663</v>
      </c>
      <c r="F28" s="20">
        <v>38527</v>
      </c>
      <c r="G28" s="7">
        <f>AVERAGE(181.8,183.6)</f>
        <v>182.7</v>
      </c>
      <c r="H28" s="7">
        <v>2.0699999999999998</v>
      </c>
      <c r="I28" s="7">
        <v>2.0299999999999998</v>
      </c>
      <c r="J28" s="7">
        <v>136.19999999999999</v>
      </c>
      <c r="K28" s="7">
        <v>1.8</v>
      </c>
      <c r="L28" s="7">
        <v>1.34</v>
      </c>
      <c r="M28" s="7">
        <f t="shared" si="3"/>
        <v>4.0859999999999994</v>
      </c>
      <c r="N28" s="7" t="s">
        <v>143</v>
      </c>
      <c r="P28" s="7" t="s">
        <v>140</v>
      </c>
      <c r="Q28" s="7">
        <f t="shared" si="0"/>
        <v>1827</v>
      </c>
      <c r="R28" s="7" t="s">
        <v>47</v>
      </c>
      <c r="T28" s="7" t="s">
        <v>96</v>
      </c>
      <c r="U28" s="7">
        <v>48.1</v>
      </c>
      <c r="V28" s="7">
        <v>1.77</v>
      </c>
      <c r="W28" s="7">
        <v>3.43</v>
      </c>
      <c r="X28" s="7" t="s">
        <v>44</v>
      </c>
      <c r="Y28" s="7">
        <f t="shared" si="4"/>
        <v>6.0125000000000002</v>
      </c>
      <c r="Z28" s="10">
        <f t="shared" si="2"/>
        <v>1.4714880078316204</v>
      </c>
      <c r="AA28" s="7" t="s">
        <v>183</v>
      </c>
      <c r="AB28" s="7">
        <f t="shared" si="8"/>
        <v>1.4714880078316204</v>
      </c>
      <c r="AC28" s="7">
        <f t="shared" si="5"/>
        <v>0.16775672708545944</v>
      </c>
      <c r="AD28" s="6">
        <v>12</v>
      </c>
      <c r="AE28" s="6">
        <v>5.7</v>
      </c>
      <c r="AF28" s="6">
        <v>4.0999999999999996</v>
      </c>
      <c r="AG28" s="6">
        <v>1.6</v>
      </c>
      <c r="AH28" s="6">
        <f>AVERAGE(AC48:AC54)</f>
        <v>0.64573942899610892</v>
      </c>
      <c r="AI28" s="6">
        <f>STDEV(AC48:AC54)</f>
        <v>0.33753271340704272</v>
      </c>
      <c r="AJ28" s="6">
        <f>AI28/SQRT(7)</f>
        <v>0.12757537414626741</v>
      </c>
      <c r="AK28" s="6">
        <f t="shared" si="9"/>
        <v>4.4232290477953438</v>
      </c>
      <c r="AL28" s="6">
        <f t="shared" si="10"/>
        <v>1.5103236406381617</v>
      </c>
      <c r="AM28" s="6">
        <v>1.1200000000000001</v>
      </c>
      <c r="AP28" s="7">
        <v>30</v>
      </c>
      <c r="AQ28" s="7">
        <v>12</v>
      </c>
      <c r="AR28" s="7">
        <v>7.1</v>
      </c>
      <c r="AT28" s="7">
        <v>27</v>
      </c>
      <c r="AU28" s="7">
        <v>48</v>
      </c>
      <c r="AV28" s="7">
        <v>25</v>
      </c>
    </row>
    <row r="29" spans="1:49" s="6" customFormat="1">
      <c r="A29" s="6" t="s">
        <v>184</v>
      </c>
      <c r="B29" s="6">
        <v>30</v>
      </c>
      <c r="C29" s="6">
        <v>6</v>
      </c>
      <c r="D29" s="6">
        <v>1</v>
      </c>
      <c r="E29" s="21">
        <v>0.57291666666666663</v>
      </c>
      <c r="F29" s="22">
        <v>38527</v>
      </c>
      <c r="G29" s="6">
        <f>AVERAGE(247.1,254.3)</f>
        <v>250.7</v>
      </c>
      <c r="H29" s="6">
        <v>1.99</v>
      </c>
      <c r="I29" s="6">
        <v>2.31</v>
      </c>
      <c r="J29" s="6">
        <v>140.30000000000001</v>
      </c>
      <c r="K29" s="6">
        <v>1.82</v>
      </c>
      <c r="L29" s="6">
        <v>0.97</v>
      </c>
      <c r="M29" s="6">
        <f>J29*30/1000</f>
        <v>4.2089999999999996</v>
      </c>
      <c r="N29" s="6" t="s">
        <v>143</v>
      </c>
      <c r="P29" s="6" t="s">
        <v>140</v>
      </c>
      <c r="Q29" s="6">
        <f t="shared" si="0"/>
        <v>2507</v>
      </c>
      <c r="R29" s="6" t="s">
        <v>170</v>
      </c>
      <c r="S29" s="6" t="s">
        <v>171</v>
      </c>
      <c r="T29" s="6" t="s">
        <v>96</v>
      </c>
      <c r="U29" s="6">
        <f>AVERAGE(62.8,66.9)</f>
        <v>64.849999999999994</v>
      </c>
      <c r="V29" s="6">
        <v>1.8</v>
      </c>
      <c r="W29" s="6">
        <v>0.9</v>
      </c>
      <c r="X29" s="6" t="s">
        <v>44</v>
      </c>
      <c r="Y29" s="6">
        <f t="shared" si="4"/>
        <v>8.1062499999999993</v>
      </c>
      <c r="Z29" s="10">
        <f t="shared" si="2"/>
        <v>1.9259325255405084</v>
      </c>
      <c r="AA29" s="6" t="s">
        <v>184</v>
      </c>
      <c r="AB29" s="6">
        <f t="shared" ref="AB29:AB53" si="11">Y29/M29</f>
        <v>1.9259325255405084</v>
      </c>
      <c r="AC29" s="6">
        <f t="shared" si="5"/>
        <v>0.28464106768013298</v>
      </c>
      <c r="AD29" s="6">
        <v>24</v>
      </c>
      <c r="AE29" s="6">
        <v>6.1</v>
      </c>
      <c r="AF29" s="6">
        <v>4.7</v>
      </c>
      <c r="AG29" s="6">
        <v>2.1</v>
      </c>
      <c r="AH29" s="6">
        <f>AVERAGE(AC66:AC73)</f>
        <v>0.66645192213536364</v>
      </c>
      <c r="AI29" s="6">
        <f>STDEV(AC66:AC73)</f>
        <v>0.38820024433430955</v>
      </c>
      <c r="AJ29" s="6">
        <f>AI29/SQRT(5)</f>
        <v>0.17360842704270874</v>
      </c>
      <c r="AK29" s="6">
        <f t="shared" si="9"/>
        <v>4.6392942858600339</v>
      </c>
      <c r="AL29" s="6">
        <f t="shared" si="10"/>
        <v>2.2799768523413313</v>
      </c>
      <c r="AM29" s="6">
        <v>1.53</v>
      </c>
      <c r="AP29" s="6">
        <v>30</v>
      </c>
      <c r="AQ29" s="6">
        <v>12</v>
      </c>
      <c r="AR29" s="6">
        <v>2.4</v>
      </c>
      <c r="AT29" s="6">
        <v>30</v>
      </c>
      <c r="AU29" s="6">
        <v>48</v>
      </c>
      <c r="AV29" s="6">
        <v>35</v>
      </c>
    </row>
    <row r="30" spans="1:49" s="12" customFormat="1">
      <c r="A30" s="12" t="s">
        <v>185</v>
      </c>
      <c r="B30" s="12">
        <v>30</v>
      </c>
      <c r="C30" s="12">
        <v>6</v>
      </c>
      <c r="D30" s="12">
        <v>1</v>
      </c>
      <c r="E30" s="29">
        <v>0.57291666666666663</v>
      </c>
      <c r="F30" s="30">
        <v>38527</v>
      </c>
      <c r="G30" s="12">
        <v>160.80000000000001</v>
      </c>
      <c r="H30" s="12">
        <v>2.06</v>
      </c>
      <c r="I30" s="12">
        <v>2.77</v>
      </c>
      <c r="J30" s="12">
        <v>43.4</v>
      </c>
      <c r="K30" s="12">
        <v>1.83</v>
      </c>
      <c r="L30" s="12">
        <v>1.31</v>
      </c>
      <c r="M30" s="12">
        <f t="shared" si="3"/>
        <v>1.302</v>
      </c>
      <c r="N30" s="12" t="s">
        <v>11</v>
      </c>
      <c r="P30" s="12" t="s">
        <v>140</v>
      </c>
      <c r="Q30" s="12">
        <f t="shared" si="0"/>
        <v>1608</v>
      </c>
      <c r="R30" s="12" t="s">
        <v>170</v>
      </c>
      <c r="S30" s="12" t="s">
        <v>172</v>
      </c>
      <c r="T30" s="12" t="s">
        <v>96</v>
      </c>
      <c r="U30" s="12">
        <v>42.6</v>
      </c>
      <c r="V30" s="12">
        <v>1.63</v>
      </c>
      <c r="W30" s="12">
        <v>0.45</v>
      </c>
      <c r="X30" s="12" t="s">
        <v>44</v>
      </c>
      <c r="Y30" s="12">
        <f t="shared" si="4"/>
        <v>5.3250000000000002</v>
      </c>
      <c r="Z30" s="10">
        <f t="shared" si="2"/>
        <v>4.0898617511520738</v>
      </c>
      <c r="AA30" s="12" t="s">
        <v>185</v>
      </c>
      <c r="AB30" s="12">
        <f t="shared" si="11"/>
        <v>4.0898617511520738</v>
      </c>
      <c r="AC30" s="6">
        <f t="shared" si="5"/>
        <v>0.61170862787860225</v>
      </c>
      <c r="AD30" s="6">
        <v>48</v>
      </c>
      <c r="AE30" s="6">
        <v>2.1</v>
      </c>
      <c r="AF30" s="6">
        <v>1.1000000000000001</v>
      </c>
      <c r="AG30" s="6">
        <v>0.6</v>
      </c>
      <c r="AH30" s="6">
        <f>AVERAGE(AC84:AC90)</f>
        <v>0.27526615263026949</v>
      </c>
      <c r="AI30" s="6">
        <f>STDEV(AC84:AC90)</f>
        <v>0.23801916419748226</v>
      </c>
      <c r="AJ30" s="6">
        <f>AI30/2</f>
        <v>0.11900958209874113</v>
      </c>
      <c r="AK30" s="6">
        <f t="shared" si="9"/>
        <v>1.8848038170577608</v>
      </c>
      <c r="AL30" s="6">
        <f t="shared" si="10"/>
        <v>0.59419166190293682</v>
      </c>
      <c r="AM30" s="6">
        <v>0.45</v>
      </c>
      <c r="AP30" s="12">
        <v>30</v>
      </c>
      <c r="AQ30" s="12">
        <v>12</v>
      </c>
      <c r="AR30" s="12">
        <v>1.7</v>
      </c>
    </row>
    <row r="31" spans="1:49" s="6" customFormat="1">
      <c r="A31" s="6" t="s">
        <v>186</v>
      </c>
      <c r="B31" s="6">
        <v>30</v>
      </c>
      <c r="C31" s="6">
        <v>6</v>
      </c>
      <c r="D31" s="6">
        <v>1</v>
      </c>
      <c r="E31" s="21">
        <v>0.57291666666666663</v>
      </c>
      <c r="F31" s="22">
        <v>38527</v>
      </c>
      <c r="G31" s="6">
        <v>233.4</v>
      </c>
      <c r="H31" s="6">
        <v>2.0099999999999998</v>
      </c>
      <c r="I31" s="6">
        <v>2.81</v>
      </c>
      <c r="J31" s="6">
        <v>57.5</v>
      </c>
      <c r="K31" s="6">
        <v>1.78</v>
      </c>
      <c r="L31" s="6">
        <v>0.53</v>
      </c>
      <c r="M31" s="6">
        <f t="shared" si="3"/>
        <v>1.7250000000000001</v>
      </c>
      <c r="N31" s="6" t="s">
        <v>11</v>
      </c>
      <c r="P31" s="6" t="s">
        <v>140</v>
      </c>
      <c r="Q31" s="6">
        <f t="shared" si="0"/>
        <v>2334</v>
      </c>
      <c r="R31" s="6" t="s">
        <v>170</v>
      </c>
      <c r="S31" s="6" t="s">
        <v>173</v>
      </c>
      <c r="T31" s="6" t="s">
        <v>96</v>
      </c>
      <c r="U31" s="6">
        <v>60.8</v>
      </c>
      <c r="V31" s="6">
        <v>1.87</v>
      </c>
      <c r="W31" s="6">
        <v>0.61</v>
      </c>
      <c r="X31" s="6" t="s">
        <v>44</v>
      </c>
      <c r="Y31" s="6">
        <f t="shared" si="4"/>
        <v>7.6</v>
      </c>
      <c r="Z31" s="10">
        <f t="shared" si="2"/>
        <v>4.4057971014492745</v>
      </c>
      <c r="AA31" s="6" t="s">
        <v>186</v>
      </c>
      <c r="AB31" s="6">
        <f t="shared" si="11"/>
        <v>4.4057971014492745</v>
      </c>
      <c r="AC31" s="6">
        <f t="shared" si="5"/>
        <v>0.64402449287149832</v>
      </c>
      <c r="AP31" s="6">
        <v>30</v>
      </c>
      <c r="AQ31" s="6">
        <v>12</v>
      </c>
      <c r="AR31" s="6">
        <v>10</v>
      </c>
    </row>
    <row r="32" spans="1:49" s="6" customFormat="1">
      <c r="A32" s="6" t="s">
        <v>187</v>
      </c>
      <c r="B32" s="6">
        <v>30</v>
      </c>
      <c r="C32" s="6">
        <v>6</v>
      </c>
      <c r="D32" s="6">
        <v>2</v>
      </c>
      <c r="E32" s="21">
        <v>0.57291666666666663</v>
      </c>
      <c r="F32" s="22">
        <v>38527</v>
      </c>
      <c r="G32" s="6">
        <v>140.6</v>
      </c>
      <c r="H32" s="6">
        <v>2.06</v>
      </c>
      <c r="I32" s="6">
        <v>2.46</v>
      </c>
      <c r="J32" s="6" t="s">
        <v>532</v>
      </c>
      <c r="N32" s="6" t="s">
        <v>11</v>
      </c>
      <c r="P32" s="6" t="s">
        <v>140</v>
      </c>
      <c r="Q32" s="6">
        <f t="shared" si="0"/>
        <v>1406</v>
      </c>
      <c r="R32" s="6" t="s">
        <v>170</v>
      </c>
      <c r="S32" s="6" t="s">
        <v>174</v>
      </c>
      <c r="T32" s="6" t="s">
        <v>96</v>
      </c>
      <c r="U32" s="6">
        <v>41.8</v>
      </c>
      <c r="V32" s="6">
        <v>1.7</v>
      </c>
      <c r="W32" s="6">
        <v>0.91</v>
      </c>
      <c r="X32" s="6" t="s">
        <v>44</v>
      </c>
      <c r="Y32" s="6">
        <f t="shared" si="4"/>
        <v>5.2249999999999996</v>
      </c>
      <c r="Z32" s="10" t="s">
        <v>927</v>
      </c>
      <c r="AA32" s="6" t="s">
        <v>187</v>
      </c>
      <c r="AB32" s="6" t="s">
        <v>86</v>
      </c>
      <c r="AC32" s="6" t="s">
        <v>272</v>
      </c>
      <c r="AD32" s="23" t="s">
        <v>541</v>
      </c>
      <c r="AP32" s="6">
        <v>27</v>
      </c>
      <c r="AQ32" s="6">
        <v>24</v>
      </c>
      <c r="AR32" s="6">
        <v>1.4</v>
      </c>
    </row>
    <row r="33" spans="1:45" s="6" customFormat="1">
      <c r="A33" s="6" t="s">
        <v>239</v>
      </c>
      <c r="B33" s="6">
        <v>30</v>
      </c>
      <c r="C33" s="6">
        <v>6</v>
      </c>
      <c r="D33" s="6">
        <v>2</v>
      </c>
      <c r="E33" s="21">
        <v>0.57291666666666663</v>
      </c>
      <c r="F33" s="22">
        <v>38527</v>
      </c>
      <c r="G33" s="6">
        <v>157.80000000000001</v>
      </c>
      <c r="H33" s="6">
        <v>2.11</v>
      </c>
      <c r="I33" s="6">
        <v>2.73</v>
      </c>
      <c r="J33" s="6">
        <v>69.099999999999994</v>
      </c>
      <c r="K33" s="6">
        <v>1.86</v>
      </c>
      <c r="L33" s="6">
        <v>1.08</v>
      </c>
      <c r="M33" s="6">
        <f t="shared" si="3"/>
        <v>2.073</v>
      </c>
      <c r="N33" s="6" t="s">
        <v>11</v>
      </c>
      <c r="P33" s="6" t="s">
        <v>140</v>
      </c>
      <c r="Q33" s="6">
        <f t="shared" si="0"/>
        <v>1578</v>
      </c>
      <c r="R33" s="6" t="s">
        <v>170</v>
      </c>
      <c r="S33" s="6" t="s">
        <v>175</v>
      </c>
      <c r="T33" s="6" t="s">
        <v>96</v>
      </c>
      <c r="U33" s="6">
        <v>24.2</v>
      </c>
      <c r="V33" s="6">
        <v>1.87</v>
      </c>
      <c r="W33" s="6">
        <v>0.2</v>
      </c>
      <c r="X33" s="6" t="s">
        <v>44</v>
      </c>
      <c r="Y33" s="6">
        <f t="shared" si="4"/>
        <v>3.0249999999999999</v>
      </c>
      <c r="Z33" s="10">
        <f t="shared" si="2"/>
        <v>1.4592378195851423</v>
      </c>
      <c r="AA33" s="6" t="s">
        <v>239</v>
      </c>
      <c r="AB33" s="6">
        <f t="shared" si="11"/>
        <v>1.4592378195851423</v>
      </c>
      <c r="AC33" s="6">
        <f t="shared" si="5"/>
        <v>0.16412607689462685</v>
      </c>
      <c r="AD33" s="23" t="s">
        <v>0</v>
      </c>
      <c r="AE33" s="23" t="s">
        <v>542</v>
      </c>
      <c r="AF33" s="23" t="s">
        <v>67</v>
      </c>
      <c r="AG33" s="23" t="s">
        <v>68</v>
      </c>
      <c r="AH33" s="23" t="s">
        <v>555</v>
      </c>
      <c r="AI33" s="23" t="s">
        <v>46</v>
      </c>
      <c r="AJ33" s="23" t="s">
        <v>558</v>
      </c>
      <c r="AK33" s="23" t="s">
        <v>559</v>
      </c>
      <c r="AP33" s="6">
        <v>27</v>
      </c>
      <c r="AQ33" s="6">
        <v>24</v>
      </c>
      <c r="AR33" s="6">
        <v>6.5</v>
      </c>
    </row>
    <row r="34" spans="1:45" s="6" customFormat="1">
      <c r="A34" s="6" t="s">
        <v>240</v>
      </c>
      <c r="B34" s="6">
        <v>30</v>
      </c>
      <c r="C34" s="6">
        <v>6</v>
      </c>
      <c r="D34" s="6">
        <v>2</v>
      </c>
      <c r="E34" s="21">
        <v>0.57291666666666663</v>
      </c>
      <c r="F34" s="22">
        <v>38527</v>
      </c>
      <c r="G34" s="6">
        <v>361.4</v>
      </c>
      <c r="H34" s="6">
        <v>1.84</v>
      </c>
      <c r="I34" s="6">
        <v>2.75</v>
      </c>
      <c r="J34" s="6">
        <v>117.8</v>
      </c>
      <c r="K34" s="6">
        <v>1.79</v>
      </c>
      <c r="L34" s="6">
        <v>2.14</v>
      </c>
      <c r="M34" s="6">
        <f t="shared" si="3"/>
        <v>3.5339999999999998</v>
      </c>
      <c r="N34" s="6" t="s">
        <v>11</v>
      </c>
      <c r="P34" s="6" t="s">
        <v>140</v>
      </c>
      <c r="Q34" s="6">
        <f t="shared" ref="Q34:Q65" si="12">10*G34</f>
        <v>3614</v>
      </c>
      <c r="R34" s="6" t="s">
        <v>170</v>
      </c>
      <c r="S34" s="6" t="s">
        <v>176</v>
      </c>
      <c r="T34" s="6" t="s">
        <v>96</v>
      </c>
      <c r="U34" s="6">
        <v>67.900000000000006</v>
      </c>
      <c r="V34" s="6">
        <v>1.83</v>
      </c>
      <c r="W34" s="6">
        <v>0.51</v>
      </c>
      <c r="X34" s="6" t="s">
        <v>44</v>
      </c>
      <c r="Y34" s="6">
        <f t="shared" si="4"/>
        <v>8.4875000000000025</v>
      </c>
      <c r="Z34" s="10">
        <f t="shared" si="2"/>
        <v>2.4016694963214498</v>
      </c>
      <c r="AA34" s="6" t="s">
        <v>240</v>
      </c>
      <c r="AB34" s="6">
        <f t="shared" si="11"/>
        <v>2.4016694963214498</v>
      </c>
      <c r="AC34" s="6">
        <f t="shared" si="5"/>
        <v>0.38051324211781301</v>
      </c>
      <c r="AD34" s="7" t="s">
        <v>543</v>
      </c>
      <c r="AE34" s="7">
        <v>7.5</v>
      </c>
      <c r="AF34" s="7">
        <v>1.78</v>
      </c>
      <c r="AG34" s="7">
        <v>0.34</v>
      </c>
      <c r="AH34" s="7" t="s">
        <v>556</v>
      </c>
      <c r="AI34" s="7"/>
      <c r="AJ34" s="7"/>
      <c r="AK34" s="7"/>
      <c r="AP34" s="6">
        <v>30</v>
      </c>
      <c r="AQ34" s="6">
        <v>24</v>
      </c>
      <c r="AR34" s="6">
        <v>7.4</v>
      </c>
    </row>
    <row r="35" spans="1:45" s="6" customFormat="1">
      <c r="A35" s="6" t="s">
        <v>241</v>
      </c>
      <c r="B35" s="6">
        <v>30</v>
      </c>
      <c r="C35" s="6">
        <v>6</v>
      </c>
      <c r="D35" s="6">
        <v>3</v>
      </c>
      <c r="E35" s="21">
        <v>0.57291666666666663</v>
      </c>
      <c r="F35" s="22">
        <v>38527</v>
      </c>
      <c r="G35" s="6">
        <v>182.7</v>
      </c>
      <c r="H35" s="6">
        <v>2.0299999999999998</v>
      </c>
      <c r="I35" s="6">
        <v>2.5299999999999998</v>
      </c>
      <c r="J35" s="6">
        <v>76.5</v>
      </c>
      <c r="K35" s="6">
        <v>1.9</v>
      </c>
      <c r="L35" s="6">
        <v>0.43</v>
      </c>
      <c r="M35" s="6">
        <f t="shared" si="3"/>
        <v>2.2949999999999999</v>
      </c>
      <c r="N35" s="6" t="s">
        <v>11</v>
      </c>
      <c r="P35" s="6" t="s">
        <v>140</v>
      </c>
      <c r="Q35" s="6">
        <f t="shared" si="12"/>
        <v>1827</v>
      </c>
      <c r="R35" s="6" t="s">
        <v>170</v>
      </c>
      <c r="S35" s="6" t="s">
        <v>42</v>
      </c>
      <c r="T35" s="6" t="s">
        <v>96</v>
      </c>
      <c r="U35" s="6">
        <f>AVERAGE(56.9,50.2)</f>
        <v>53.55</v>
      </c>
      <c r="V35" s="6">
        <v>1.96</v>
      </c>
      <c r="W35" s="6">
        <v>2.23</v>
      </c>
      <c r="X35" s="6" t="s">
        <v>44</v>
      </c>
      <c r="Y35" s="6">
        <f>U35*25*2.5/1000</f>
        <v>3.3468749999999998</v>
      </c>
      <c r="Z35" s="10">
        <f t="shared" si="2"/>
        <v>1.4583333333333333</v>
      </c>
      <c r="AA35" s="6" t="s">
        <v>241</v>
      </c>
      <c r="AB35" s="6">
        <f t="shared" si="11"/>
        <v>1.4583333333333333</v>
      </c>
      <c r="AC35" s="6">
        <f t="shared" si="5"/>
        <v>0.16385680263866959</v>
      </c>
      <c r="AD35" s="7" t="s">
        <v>544</v>
      </c>
      <c r="AE35" s="7">
        <v>81.099999999999994</v>
      </c>
      <c r="AF35" s="7">
        <v>2.02</v>
      </c>
      <c r="AG35" s="7">
        <v>1.92</v>
      </c>
      <c r="AH35" s="7"/>
      <c r="AI35" s="7">
        <f t="shared" ref="AI35:AI45" si="13">AE35*30/1000</f>
        <v>2.4329999999999998</v>
      </c>
      <c r="AJ35" s="7">
        <f>20*53/AE35</f>
        <v>13.070283600493219</v>
      </c>
      <c r="AK35" s="7">
        <f>50-AJ35</f>
        <v>36.929716399506781</v>
      </c>
      <c r="AP35" s="6">
        <v>30</v>
      </c>
      <c r="AQ35" s="6">
        <v>24</v>
      </c>
      <c r="AR35" s="6">
        <v>13.5</v>
      </c>
      <c r="AS35" s="6">
        <f>AVERAGE(AS2:AS25)</f>
        <v>4.1905797101449274</v>
      </c>
    </row>
    <row r="36" spans="1:45" s="6" customFormat="1">
      <c r="A36" s="6" t="s">
        <v>242</v>
      </c>
      <c r="B36" s="6">
        <v>30</v>
      </c>
      <c r="C36" s="6">
        <v>6</v>
      </c>
      <c r="D36" s="6">
        <v>3</v>
      </c>
      <c r="E36" s="21">
        <v>0.57291666666666663</v>
      </c>
      <c r="F36" s="22">
        <v>38527</v>
      </c>
      <c r="G36" s="6">
        <v>222.2</v>
      </c>
      <c r="H36" s="6">
        <v>1.96</v>
      </c>
      <c r="I36" s="6">
        <v>2.85</v>
      </c>
      <c r="J36" s="6">
        <v>133.4</v>
      </c>
      <c r="K36" s="6">
        <v>1.8</v>
      </c>
      <c r="L36" s="6">
        <v>0.64</v>
      </c>
      <c r="M36" s="6">
        <f t="shared" si="3"/>
        <v>4.0019999999999998</v>
      </c>
      <c r="N36" s="6" t="s">
        <v>11</v>
      </c>
      <c r="P36" s="6" t="s">
        <v>140</v>
      </c>
      <c r="Q36" s="6">
        <f t="shared" si="12"/>
        <v>2222</v>
      </c>
      <c r="R36" s="6" t="s">
        <v>170</v>
      </c>
      <c r="T36" s="6" t="s">
        <v>96</v>
      </c>
      <c r="U36" s="6">
        <v>64.099999999999994</v>
      </c>
      <c r="V36" s="6">
        <v>1.8</v>
      </c>
      <c r="W36" s="6">
        <v>0.85</v>
      </c>
      <c r="X36" s="6" t="s">
        <v>44</v>
      </c>
      <c r="Y36" s="6">
        <f t="shared" si="4"/>
        <v>8.0124999999999993</v>
      </c>
      <c r="Z36" s="10">
        <f t="shared" si="2"/>
        <v>2.0021239380309845</v>
      </c>
      <c r="AA36" s="6" t="s">
        <v>242</v>
      </c>
      <c r="AB36" s="6">
        <f t="shared" si="11"/>
        <v>2.0021239380309845</v>
      </c>
      <c r="AC36" s="6">
        <f t="shared" si="5"/>
        <v>0.30149095822668126</v>
      </c>
      <c r="AD36" s="7" t="s">
        <v>545</v>
      </c>
      <c r="AE36" s="7" t="s">
        <v>86</v>
      </c>
      <c r="AF36" s="7"/>
      <c r="AG36" s="7"/>
      <c r="AH36" s="7"/>
      <c r="AI36" s="7"/>
      <c r="AJ36" s="7"/>
      <c r="AK36" s="7"/>
      <c r="AP36" s="6">
        <v>30</v>
      </c>
      <c r="AQ36" s="6">
        <v>24</v>
      </c>
      <c r="AR36" s="6">
        <v>2.9</v>
      </c>
      <c r="AS36" s="6">
        <f>STDEV(AS2:AS25)</f>
        <v>2.6557390974474573</v>
      </c>
    </row>
    <row r="37" spans="1:45" s="6" customFormat="1">
      <c r="A37" s="6" t="s">
        <v>196</v>
      </c>
      <c r="B37" s="6">
        <v>30</v>
      </c>
      <c r="C37" s="6">
        <v>6</v>
      </c>
      <c r="D37" s="6">
        <v>3</v>
      </c>
      <c r="E37" s="21">
        <v>0.57291666666666663</v>
      </c>
      <c r="F37" s="22">
        <v>38527</v>
      </c>
      <c r="G37" s="6">
        <v>329.3</v>
      </c>
      <c r="H37" s="6">
        <v>1.87</v>
      </c>
      <c r="I37" s="6">
        <v>2.71</v>
      </c>
      <c r="J37" s="6">
        <v>75.7</v>
      </c>
      <c r="K37" s="6">
        <v>1.87</v>
      </c>
      <c r="L37" s="6">
        <v>0.34</v>
      </c>
      <c r="M37" s="6">
        <f t="shared" si="3"/>
        <v>2.2709999999999999</v>
      </c>
      <c r="N37" s="6" t="s">
        <v>11</v>
      </c>
      <c r="P37" s="6" t="s">
        <v>140</v>
      </c>
      <c r="Q37" s="6">
        <f t="shared" si="12"/>
        <v>3293</v>
      </c>
      <c r="R37" s="6" t="s">
        <v>170</v>
      </c>
      <c r="T37" s="6" t="s">
        <v>96</v>
      </c>
      <c r="U37" s="6">
        <v>54.2</v>
      </c>
      <c r="V37" s="6">
        <v>1.75</v>
      </c>
      <c r="W37" s="6">
        <v>0.56000000000000005</v>
      </c>
      <c r="X37" s="6" t="s">
        <v>44</v>
      </c>
      <c r="Y37" s="6">
        <f t="shared" si="4"/>
        <v>6.7750000000000004</v>
      </c>
      <c r="Z37" s="10">
        <f t="shared" si="2"/>
        <v>2.983267283135183</v>
      </c>
      <c r="AA37" s="6" t="s">
        <v>196</v>
      </c>
      <c r="AB37" s="6">
        <f t="shared" si="11"/>
        <v>2.983267283135183</v>
      </c>
      <c r="AC37" s="6">
        <f t="shared" si="5"/>
        <v>0.47469216532670816</v>
      </c>
      <c r="AD37" s="6" t="s">
        <v>546</v>
      </c>
      <c r="AE37" s="6" t="s">
        <v>86</v>
      </c>
      <c r="AP37" s="6">
        <v>30</v>
      </c>
      <c r="AQ37" s="6">
        <v>24</v>
      </c>
      <c r="AR37" s="6">
        <v>1.3</v>
      </c>
      <c r="AS37" s="6">
        <f>MIN(AS2:AS25)</f>
        <v>1.1000000000000001</v>
      </c>
    </row>
    <row r="38" spans="1:45" s="7" customFormat="1">
      <c r="A38" s="7" t="s">
        <v>197</v>
      </c>
      <c r="B38" s="7">
        <v>27</v>
      </c>
      <c r="C38" s="7">
        <v>12</v>
      </c>
      <c r="D38" s="7">
        <v>1</v>
      </c>
      <c r="E38" s="19">
        <v>0.82291666666666663</v>
      </c>
      <c r="F38" s="20">
        <v>38527</v>
      </c>
      <c r="G38" s="7">
        <f>AVERAGE(167.3,171.7)</f>
        <v>169.5</v>
      </c>
      <c r="H38" s="7">
        <v>1.94</v>
      </c>
      <c r="I38" s="7">
        <v>2.69</v>
      </c>
      <c r="J38" s="7">
        <v>43.4</v>
      </c>
      <c r="K38" s="7">
        <v>1.83</v>
      </c>
      <c r="L38" s="7">
        <v>1.31</v>
      </c>
      <c r="M38" s="7">
        <f t="shared" si="3"/>
        <v>1.302</v>
      </c>
      <c r="N38" s="7" t="s">
        <v>11</v>
      </c>
      <c r="P38" s="7" t="s">
        <v>140</v>
      </c>
      <c r="Q38" s="7">
        <f t="shared" si="12"/>
        <v>1695</v>
      </c>
      <c r="R38" s="7" t="s">
        <v>170</v>
      </c>
      <c r="T38" s="7" t="s">
        <v>96</v>
      </c>
      <c r="U38" s="7">
        <v>49.7</v>
      </c>
      <c r="V38" s="10">
        <v>1.65</v>
      </c>
      <c r="W38" s="7">
        <v>0.7</v>
      </c>
      <c r="X38" s="7" t="s">
        <v>44</v>
      </c>
      <c r="Y38" s="7">
        <f t="shared" si="4"/>
        <v>6.2125000000000004</v>
      </c>
      <c r="Z38" s="10">
        <f t="shared" si="2"/>
        <v>4.771505376344086</v>
      </c>
      <c r="AA38" s="7" t="s">
        <v>197</v>
      </c>
      <c r="AB38" s="7">
        <f t="shared" si="11"/>
        <v>4.771505376344086</v>
      </c>
      <c r="AC38" s="7">
        <f t="shared" si="5"/>
        <v>0.67865541750921543</v>
      </c>
      <c r="AD38" s="6" t="s">
        <v>547</v>
      </c>
      <c r="AE38" s="6">
        <v>139.80000000000001</v>
      </c>
      <c r="AF38" s="6">
        <v>1.92</v>
      </c>
      <c r="AG38" s="6">
        <v>2.41</v>
      </c>
      <c r="AH38" s="6"/>
      <c r="AI38" s="6">
        <f t="shared" si="13"/>
        <v>4.194</v>
      </c>
      <c r="AJ38" s="6">
        <f t="shared" ref="AJ38:AJ45" si="14">20*53/AE38</f>
        <v>7.5822603719599417</v>
      </c>
      <c r="AK38" s="6">
        <f t="shared" ref="AK38:AK45" si="15">50-AJ38</f>
        <v>42.41773962804006</v>
      </c>
      <c r="AP38" s="7">
        <v>30</v>
      </c>
      <c r="AQ38" s="7">
        <v>24</v>
      </c>
      <c r="AR38" s="7">
        <v>5.6</v>
      </c>
    </row>
    <row r="39" spans="1:45" s="7" customFormat="1">
      <c r="A39" s="7" t="s">
        <v>198</v>
      </c>
      <c r="B39" s="7">
        <v>27</v>
      </c>
      <c r="C39" s="7">
        <v>12</v>
      </c>
      <c r="D39" s="7">
        <v>1</v>
      </c>
      <c r="E39" s="19">
        <v>0.82291666666666663</v>
      </c>
      <c r="F39" s="20">
        <v>38527</v>
      </c>
      <c r="G39" s="7">
        <f>AVERAGE(254.4,256.5)</f>
        <v>255.45</v>
      </c>
      <c r="H39" s="7">
        <v>1.92</v>
      </c>
      <c r="I39" s="7">
        <v>2.74</v>
      </c>
      <c r="J39" s="7">
        <v>76</v>
      </c>
      <c r="K39" s="7">
        <v>1.77</v>
      </c>
      <c r="L39" s="7">
        <v>1.0900000000000001</v>
      </c>
      <c r="M39" s="7">
        <f t="shared" si="3"/>
        <v>2.2799999999999998</v>
      </c>
      <c r="N39" s="7" t="s">
        <v>11</v>
      </c>
      <c r="P39" s="7" t="s">
        <v>140</v>
      </c>
      <c r="Q39" s="7">
        <f t="shared" si="12"/>
        <v>2554.5</v>
      </c>
      <c r="R39" s="7" t="s">
        <v>170</v>
      </c>
      <c r="T39" s="7" t="s">
        <v>96</v>
      </c>
      <c r="U39" s="7">
        <f>AVERAGE(67.3,69.4)</f>
        <v>68.349999999999994</v>
      </c>
      <c r="V39" s="7">
        <v>1.75</v>
      </c>
      <c r="W39" s="7">
        <v>0.71</v>
      </c>
      <c r="X39" s="7" t="s">
        <v>44</v>
      </c>
      <c r="Y39" s="7">
        <f t="shared" si="4"/>
        <v>8.5437499999999975</v>
      </c>
      <c r="Z39" s="10">
        <f t="shared" si="2"/>
        <v>3.7472587719298236</v>
      </c>
      <c r="AA39" s="7" t="s">
        <v>198</v>
      </c>
      <c r="AB39" s="7">
        <f t="shared" si="11"/>
        <v>3.7472587719298236</v>
      </c>
      <c r="AC39" s="7">
        <f t="shared" si="5"/>
        <v>0.57371368491144359</v>
      </c>
      <c r="AD39" s="6" t="s">
        <v>548</v>
      </c>
      <c r="AE39" s="6">
        <f>AVERAGE(265.9,263.5)</f>
        <v>264.7</v>
      </c>
      <c r="AF39" s="6">
        <v>1.85</v>
      </c>
      <c r="AG39" s="6">
        <v>1.96</v>
      </c>
      <c r="AH39" s="6"/>
      <c r="AI39" s="6">
        <f t="shared" si="13"/>
        <v>7.9409999999999998</v>
      </c>
      <c r="AJ39" s="6">
        <f t="shared" si="14"/>
        <v>4.004533434076313</v>
      </c>
      <c r="AK39" s="6">
        <f t="shared" si="15"/>
        <v>45.995466565923685</v>
      </c>
      <c r="AP39" s="7">
        <v>27</v>
      </c>
      <c r="AQ39" s="7">
        <v>48</v>
      </c>
      <c r="AR39" s="7">
        <v>6.1</v>
      </c>
    </row>
    <row r="40" spans="1:45" s="7" customFormat="1">
      <c r="A40" s="7" t="s">
        <v>199</v>
      </c>
      <c r="B40" s="7">
        <v>27</v>
      </c>
      <c r="C40" s="7">
        <v>12</v>
      </c>
      <c r="D40" s="7">
        <v>1</v>
      </c>
      <c r="E40" s="19">
        <v>0.82291666666666663</v>
      </c>
      <c r="F40" s="20">
        <v>38527</v>
      </c>
      <c r="G40" s="7">
        <f>AVERAGE(197.8,206.2)</f>
        <v>202</v>
      </c>
      <c r="H40" s="7">
        <v>1.9</v>
      </c>
      <c r="I40" s="7">
        <v>2.4900000000000002</v>
      </c>
      <c r="J40" s="7">
        <v>184.3</v>
      </c>
      <c r="K40" s="7">
        <v>1.74</v>
      </c>
      <c r="L40" s="7">
        <v>1.58</v>
      </c>
      <c r="M40" s="7">
        <f t="shared" si="3"/>
        <v>5.5289999999999999</v>
      </c>
      <c r="N40" s="7" t="s">
        <v>98</v>
      </c>
      <c r="P40" s="7" t="s">
        <v>140</v>
      </c>
      <c r="Q40" s="7">
        <f t="shared" si="12"/>
        <v>2020</v>
      </c>
      <c r="R40" s="7" t="s">
        <v>170</v>
      </c>
      <c r="T40" s="7" t="s">
        <v>96</v>
      </c>
      <c r="U40" s="7">
        <v>49.3</v>
      </c>
      <c r="V40" s="7">
        <v>1.73</v>
      </c>
      <c r="W40" s="7">
        <v>0.22</v>
      </c>
      <c r="X40" s="7" t="s">
        <v>44</v>
      </c>
      <c r="Y40" s="7">
        <f t="shared" si="4"/>
        <v>6.1624999999999996</v>
      </c>
      <c r="Z40" s="10">
        <f t="shared" si="2"/>
        <v>1.1145776813166937</v>
      </c>
      <c r="AA40" s="7" t="s">
        <v>199</v>
      </c>
      <c r="AB40" s="7">
        <f t="shared" si="11"/>
        <v>1.1145776813166937</v>
      </c>
      <c r="AC40" s="7">
        <f t="shared" si="5"/>
        <v>4.7110342346550128E-2</v>
      </c>
      <c r="AD40" s="7" t="s">
        <v>549</v>
      </c>
      <c r="AE40" s="7">
        <v>82.3</v>
      </c>
      <c r="AF40" s="7">
        <v>1.93</v>
      </c>
      <c r="AG40" s="7">
        <v>2.38</v>
      </c>
      <c r="AI40" s="7">
        <f t="shared" si="13"/>
        <v>2.4689999999999999</v>
      </c>
      <c r="AJ40" s="7">
        <f t="shared" si="14"/>
        <v>12.879708383961118</v>
      </c>
      <c r="AK40" s="7">
        <f t="shared" si="15"/>
        <v>37.120291616038884</v>
      </c>
      <c r="AP40" s="7">
        <v>27</v>
      </c>
      <c r="AQ40" s="7">
        <v>48</v>
      </c>
      <c r="AR40" s="7">
        <v>5.2</v>
      </c>
    </row>
    <row r="41" spans="1:45" s="7" customFormat="1">
      <c r="A41" s="7" t="s">
        <v>200</v>
      </c>
      <c r="B41" s="7">
        <v>27</v>
      </c>
      <c r="C41" s="7">
        <v>12</v>
      </c>
      <c r="D41" s="7">
        <v>2</v>
      </c>
      <c r="E41" s="19">
        <v>0.82291666666666663</v>
      </c>
      <c r="F41" s="20">
        <v>38527</v>
      </c>
      <c r="G41" s="7">
        <f>AVERAGE(296.6,315.1)</f>
        <v>305.85000000000002</v>
      </c>
      <c r="H41" s="7">
        <v>1.83</v>
      </c>
      <c r="I41" s="7">
        <v>2.76</v>
      </c>
      <c r="J41" s="7">
        <v>49</v>
      </c>
      <c r="K41" s="7">
        <v>1.77</v>
      </c>
      <c r="L41" s="7">
        <v>0.51</v>
      </c>
      <c r="M41" s="7">
        <f t="shared" si="3"/>
        <v>1.47</v>
      </c>
      <c r="N41" s="7" t="s">
        <v>98</v>
      </c>
      <c r="P41" s="7" t="s">
        <v>140</v>
      </c>
      <c r="Q41" s="7">
        <f t="shared" si="12"/>
        <v>3058.5</v>
      </c>
      <c r="R41" s="7" t="s">
        <v>47</v>
      </c>
      <c r="S41" s="7" t="s">
        <v>171</v>
      </c>
      <c r="T41" s="7" t="s">
        <v>96</v>
      </c>
      <c r="U41" s="7">
        <v>57</v>
      </c>
      <c r="V41" s="7">
        <v>1.83</v>
      </c>
      <c r="W41" s="7">
        <f>AVERAGE(2.82,3.83)</f>
        <v>3.3250000000000002</v>
      </c>
      <c r="X41" s="7" t="s">
        <v>44</v>
      </c>
      <c r="Y41" s="7">
        <f t="shared" si="4"/>
        <v>7.125</v>
      </c>
      <c r="Z41" s="10">
        <f t="shared" si="2"/>
        <v>4.8469387755102042</v>
      </c>
      <c r="AA41" s="7" t="s">
        <v>200</v>
      </c>
      <c r="AB41" s="7">
        <f t="shared" si="11"/>
        <v>4.8469387755102042</v>
      </c>
      <c r="AC41" s="7">
        <f t="shared" si="5"/>
        <v>0.6854675339323717</v>
      </c>
      <c r="AD41" s="7" t="s">
        <v>550</v>
      </c>
      <c r="AE41" s="7">
        <v>376.6</v>
      </c>
      <c r="AF41" s="10">
        <v>1.59</v>
      </c>
      <c r="AG41" s="7">
        <v>2.73</v>
      </c>
      <c r="AH41" s="7" t="s">
        <v>557</v>
      </c>
      <c r="AI41" s="7">
        <f t="shared" si="13"/>
        <v>11.298</v>
      </c>
      <c r="AJ41" s="7">
        <f t="shared" si="14"/>
        <v>2.8146574614976099</v>
      </c>
      <c r="AK41" s="7">
        <f t="shared" si="15"/>
        <v>47.18534253850239</v>
      </c>
      <c r="AP41" s="7">
        <v>27</v>
      </c>
      <c r="AQ41" s="7">
        <v>48</v>
      </c>
      <c r="AR41" s="7">
        <v>2.8</v>
      </c>
    </row>
    <row r="42" spans="1:45" s="7" customFormat="1">
      <c r="A42" s="7" t="s">
        <v>201</v>
      </c>
      <c r="B42" s="7">
        <v>27</v>
      </c>
      <c r="C42" s="7">
        <v>12</v>
      </c>
      <c r="D42" s="7">
        <v>2</v>
      </c>
      <c r="E42" s="19">
        <v>0.82291666666666663</v>
      </c>
      <c r="F42" s="20">
        <v>38527</v>
      </c>
      <c r="G42" s="7">
        <f>AVERAGE(321.8,324.7)</f>
        <v>323.25</v>
      </c>
      <c r="H42" s="7">
        <v>1.94</v>
      </c>
      <c r="I42" s="7">
        <v>2.86</v>
      </c>
      <c r="J42" s="7">
        <v>50.5</v>
      </c>
      <c r="K42" s="7">
        <v>1.85</v>
      </c>
      <c r="L42" s="7">
        <v>0.46</v>
      </c>
      <c r="M42" s="7">
        <f t="shared" si="3"/>
        <v>1.5149999999999999</v>
      </c>
      <c r="N42" s="7" t="s">
        <v>143</v>
      </c>
      <c r="P42" s="7" t="s">
        <v>140</v>
      </c>
      <c r="Q42" s="7">
        <f t="shared" si="12"/>
        <v>3232.5</v>
      </c>
      <c r="R42" s="7" t="s">
        <v>47</v>
      </c>
      <c r="S42" s="7" t="s">
        <v>48</v>
      </c>
      <c r="T42" s="7" t="s">
        <v>96</v>
      </c>
      <c r="U42" s="7">
        <f>AVERAGE(88.6,90.3)</f>
        <v>89.449999999999989</v>
      </c>
      <c r="V42" s="7">
        <v>1.84</v>
      </c>
      <c r="W42" s="7">
        <v>3.25</v>
      </c>
      <c r="X42" s="7" t="s">
        <v>44</v>
      </c>
      <c r="Y42" s="7">
        <f t="shared" si="4"/>
        <v>11.181249999999999</v>
      </c>
      <c r="Z42" s="10">
        <f t="shared" si="2"/>
        <v>7.3803630363036303</v>
      </c>
      <c r="AA42" s="7" t="s">
        <v>201</v>
      </c>
      <c r="AB42" s="7">
        <f t="shared" si="11"/>
        <v>7.3803630363036303</v>
      </c>
      <c r="AC42" s="7">
        <f t="shared" si="5"/>
        <v>0.86807772507312442</v>
      </c>
      <c r="AD42" s="7" t="s">
        <v>551</v>
      </c>
      <c r="AE42" s="7">
        <f>AVERAGE(208.4, 201.2)</f>
        <v>204.8</v>
      </c>
      <c r="AF42" s="7">
        <v>1.91</v>
      </c>
      <c r="AG42" s="7">
        <v>1.64</v>
      </c>
      <c r="AI42" s="7">
        <f t="shared" si="13"/>
        <v>6.1440000000000001</v>
      </c>
      <c r="AJ42" s="7">
        <f t="shared" si="14"/>
        <v>5.17578125</v>
      </c>
      <c r="AK42" s="7">
        <f t="shared" si="15"/>
        <v>44.82421875</v>
      </c>
      <c r="AP42" s="7">
        <v>27</v>
      </c>
      <c r="AQ42" s="7">
        <v>48</v>
      </c>
      <c r="AR42" s="7">
        <v>3.8</v>
      </c>
    </row>
    <row r="43" spans="1:45" s="7" customFormat="1">
      <c r="A43" s="7" t="s">
        <v>202</v>
      </c>
      <c r="B43" s="7">
        <v>27</v>
      </c>
      <c r="C43" s="7">
        <v>12</v>
      </c>
      <c r="D43" s="7">
        <v>2</v>
      </c>
      <c r="E43" s="19">
        <v>0.82291666666666663</v>
      </c>
      <c r="F43" s="20">
        <v>38527</v>
      </c>
      <c r="G43" s="7">
        <v>137.80000000000001</v>
      </c>
      <c r="H43" s="7">
        <v>1.92</v>
      </c>
      <c r="I43" s="7">
        <v>2.61</v>
      </c>
      <c r="J43" s="7">
        <v>68.400000000000006</v>
      </c>
      <c r="K43" s="7">
        <v>1.86</v>
      </c>
      <c r="L43" s="7">
        <v>0.48</v>
      </c>
      <c r="M43" s="7">
        <f t="shared" si="3"/>
        <v>2.052</v>
      </c>
      <c r="N43" s="7" t="s">
        <v>143</v>
      </c>
      <c r="P43" s="7" t="s">
        <v>140</v>
      </c>
      <c r="Q43" s="7">
        <f t="shared" si="12"/>
        <v>1378</v>
      </c>
      <c r="R43" s="7" t="s">
        <v>47</v>
      </c>
      <c r="S43" s="7" t="s">
        <v>49</v>
      </c>
      <c r="T43" s="7" t="s">
        <v>96</v>
      </c>
      <c r="U43" s="7">
        <f>AVERAGE(39.7,37.5)</f>
        <v>38.6</v>
      </c>
      <c r="V43" s="7">
        <v>1.8</v>
      </c>
      <c r="W43" s="7">
        <f>AVERAGE(2.29,3.88)</f>
        <v>3.085</v>
      </c>
      <c r="X43" s="7" t="s">
        <v>44</v>
      </c>
      <c r="Y43" s="7">
        <f t="shared" si="4"/>
        <v>4.8250000000000002</v>
      </c>
      <c r="Z43" s="10">
        <f t="shared" si="2"/>
        <v>2.3513645224171542</v>
      </c>
      <c r="AA43" s="7" t="s">
        <v>202</v>
      </c>
      <c r="AB43" s="7">
        <f t="shared" si="11"/>
        <v>2.3513645224171542</v>
      </c>
      <c r="AC43" s="7">
        <f t="shared" si="5"/>
        <v>0.37131996124003275</v>
      </c>
      <c r="AD43" s="6" t="s">
        <v>552</v>
      </c>
      <c r="AE43" s="6">
        <f>AVERAGE(368.6,346.1)</f>
        <v>357.35</v>
      </c>
      <c r="AF43" s="12">
        <v>1.66</v>
      </c>
      <c r="AG43" s="6">
        <v>2.7</v>
      </c>
      <c r="AH43" s="6" t="s">
        <v>557</v>
      </c>
      <c r="AI43" s="6">
        <f t="shared" si="13"/>
        <v>10.720499999999999</v>
      </c>
      <c r="AJ43" s="6">
        <f t="shared" si="14"/>
        <v>2.9662795578564429</v>
      </c>
      <c r="AK43" s="6">
        <f t="shared" si="15"/>
        <v>47.033720442143554</v>
      </c>
      <c r="AP43" s="7">
        <v>27</v>
      </c>
      <c r="AQ43" s="7">
        <v>48</v>
      </c>
      <c r="AR43" s="7">
        <v>1</v>
      </c>
    </row>
    <row r="44" spans="1:45" s="7" customFormat="1">
      <c r="A44" s="7" t="s">
        <v>203</v>
      </c>
      <c r="B44" s="7">
        <v>27</v>
      </c>
      <c r="C44" s="7">
        <v>12</v>
      </c>
      <c r="D44" s="7">
        <v>3</v>
      </c>
      <c r="E44" s="19">
        <v>0.82291666666666663</v>
      </c>
      <c r="F44" s="20">
        <v>38527</v>
      </c>
      <c r="G44" s="7">
        <v>289.39999999999998</v>
      </c>
      <c r="H44" s="7">
        <v>1.88</v>
      </c>
      <c r="I44" s="7">
        <v>2.64</v>
      </c>
      <c r="J44" s="7">
        <v>12.1</v>
      </c>
      <c r="K44" s="7">
        <v>1.61</v>
      </c>
      <c r="L44" s="7">
        <v>0.22</v>
      </c>
      <c r="M44" s="7" t="s">
        <v>86</v>
      </c>
      <c r="N44" s="7" t="s">
        <v>146</v>
      </c>
      <c r="P44" s="7" t="s">
        <v>140</v>
      </c>
      <c r="Q44" s="7">
        <f t="shared" si="12"/>
        <v>2894</v>
      </c>
      <c r="R44" s="7" t="s">
        <v>47</v>
      </c>
      <c r="S44" s="7" t="s">
        <v>50</v>
      </c>
      <c r="T44" s="7" t="s">
        <v>96</v>
      </c>
      <c r="U44" s="7">
        <f>AVERAGE(56.2,61.1)</f>
        <v>58.650000000000006</v>
      </c>
      <c r="V44" s="7">
        <v>1.81</v>
      </c>
      <c r="W44" s="7">
        <f>AVERAGE(3.09,4.59)</f>
        <v>3.84</v>
      </c>
      <c r="X44" s="7" t="s">
        <v>44</v>
      </c>
      <c r="Y44" s="7">
        <f t="shared" si="4"/>
        <v>7.3312500000000007</v>
      </c>
      <c r="Z44" s="10" t="s">
        <v>927</v>
      </c>
      <c r="AA44" s="7" t="s">
        <v>203</v>
      </c>
      <c r="AB44" s="7" t="s">
        <v>86</v>
      </c>
      <c r="AC44" s="7" t="s">
        <v>272</v>
      </c>
      <c r="AD44" s="6" t="s">
        <v>553</v>
      </c>
      <c r="AE44" s="6">
        <f>AVERAGE(262.2,266.9)</f>
        <v>264.54999999999995</v>
      </c>
      <c r="AF44" s="6">
        <v>1.85</v>
      </c>
      <c r="AG44" s="6">
        <v>2.34</v>
      </c>
      <c r="AH44" s="6"/>
      <c r="AI44" s="6">
        <f t="shared" si="13"/>
        <v>7.9364999999999979</v>
      </c>
      <c r="AJ44" s="6">
        <f t="shared" si="14"/>
        <v>4.0068040068040078</v>
      </c>
      <c r="AK44" s="6">
        <f t="shared" si="15"/>
        <v>45.99319599319599</v>
      </c>
      <c r="AP44" s="7">
        <v>30</v>
      </c>
      <c r="AQ44" s="7">
        <v>48</v>
      </c>
      <c r="AR44" s="7">
        <v>2.4</v>
      </c>
    </row>
    <row r="45" spans="1:45" s="7" customFormat="1">
      <c r="A45" s="7" t="s">
        <v>204</v>
      </c>
      <c r="B45" s="7">
        <v>27</v>
      </c>
      <c r="C45" s="7">
        <v>12</v>
      </c>
      <c r="D45" s="7">
        <v>3</v>
      </c>
      <c r="E45" s="19">
        <v>0.82291666666666663</v>
      </c>
      <c r="F45" s="20">
        <v>38527</v>
      </c>
      <c r="G45" s="7">
        <v>161</v>
      </c>
      <c r="H45" s="7">
        <v>1.99</v>
      </c>
      <c r="I45" s="7">
        <v>2.27</v>
      </c>
      <c r="J45" s="7">
        <v>32.200000000000003</v>
      </c>
      <c r="K45" s="7">
        <v>1.8</v>
      </c>
      <c r="L45" s="7">
        <v>0.26</v>
      </c>
      <c r="M45" s="7">
        <f t="shared" si="3"/>
        <v>0.96600000000000008</v>
      </c>
      <c r="N45" s="7" t="s">
        <v>143</v>
      </c>
      <c r="P45" s="7" t="s">
        <v>140</v>
      </c>
      <c r="Q45" s="7">
        <f t="shared" si="12"/>
        <v>1610</v>
      </c>
      <c r="R45" s="7" t="s">
        <v>47</v>
      </c>
      <c r="S45" s="7" t="s">
        <v>51</v>
      </c>
      <c r="T45" s="7" t="s">
        <v>96</v>
      </c>
      <c r="U45" s="7">
        <f>AVERAGE(41.3,52.2)</f>
        <v>46.75</v>
      </c>
      <c r="V45" s="7">
        <v>1.78</v>
      </c>
      <c r="W45" s="7">
        <f>AVERAGE(2.71,1.91)</f>
        <v>2.31</v>
      </c>
      <c r="X45" s="7" t="s">
        <v>44</v>
      </c>
      <c r="Y45" s="7">
        <f t="shared" si="4"/>
        <v>5.84375</v>
      </c>
      <c r="Z45" s="10">
        <f t="shared" si="2"/>
        <v>6.0494306418219459</v>
      </c>
      <c r="AA45" s="7" t="s">
        <v>204</v>
      </c>
      <c r="AB45" s="7">
        <f t="shared" si="11"/>
        <v>6.0494306418219459</v>
      </c>
      <c r="AC45" s="7">
        <f t="shared" si="5"/>
        <v>0.78171450180109958</v>
      </c>
      <c r="AD45" s="6" t="s">
        <v>554</v>
      </c>
      <c r="AE45" s="6">
        <f>AVERAGE(396.1,392.8)</f>
        <v>394.45000000000005</v>
      </c>
      <c r="AF45" s="12">
        <v>1.5</v>
      </c>
      <c r="AG45" s="6">
        <v>2.6</v>
      </c>
      <c r="AH45" s="6" t="s">
        <v>557</v>
      </c>
      <c r="AI45" s="6">
        <f t="shared" si="13"/>
        <v>11.833500000000003</v>
      </c>
      <c r="AJ45" s="6">
        <f t="shared" si="14"/>
        <v>2.6872860945620483</v>
      </c>
      <c r="AK45" s="6">
        <f t="shared" si="15"/>
        <v>47.312713905437953</v>
      </c>
      <c r="AP45" s="7">
        <v>30</v>
      </c>
      <c r="AQ45" s="7">
        <v>48</v>
      </c>
      <c r="AR45" s="7">
        <v>3.6</v>
      </c>
    </row>
    <row r="46" spans="1:45" s="7" customFormat="1">
      <c r="A46" s="7" t="s">
        <v>205</v>
      </c>
      <c r="B46" s="7">
        <v>27</v>
      </c>
      <c r="C46" s="7">
        <v>12</v>
      </c>
      <c r="D46" s="7">
        <v>3</v>
      </c>
      <c r="E46" s="19">
        <v>0.82291666666666663</v>
      </c>
      <c r="F46" s="20">
        <v>38527</v>
      </c>
      <c r="G46" s="7">
        <f>AVERAGE(351.2,355.2)</f>
        <v>353.2</v>
      </c>
      <c r="H46" s="7">
        <v>1.81</v>
      </c>
      <c r="I46" s="7">
        <v>2.68</v>
      </c>
      <c r="J46" s="7">
        <v>85.6</v>
      </c>
      <c r="K46" s="7">
        <v>1.78</v>
      </c>
      <c r="L46" s="7">
        <v>1.06</v>
      </c>
      <c r="M46" s="7">
        <f t="shared" si="3"/>
        <v>2.5680000000000001</v>
      </c>
      <c r="N46" s="7" t="s">
        <v>143</v>
      </c>
      <c r="P46" s="7" t="s">
        <v>140</v>
      </c>
      <c r="Q46" s="7">
        <f t="shared" si="12"/>
        <v>3532</v>
      </c>
      <c r="R46" s="7" t="s">
        <v>47</v>
      </c>
      <c r="S46" s="7" t="s">
        <v>52</v>
      </c>
      <c r="T46" s="7" t="s">
        <v>96</v>
      </c>
      <c r="U46" s="7">
        <f>AVERAGE(54.6,56.7)</f>
        <v>55.650000000000006</v>
      </c>
      <c r="V46" s="7">
        <v>1.74</v>
      </c>
      <c r="W46" s="7">
        <v>3.01</v>
      </c>
      <c r="X46" s="7" t="s">
        <v>44</v>
      </c>
      <c r="Y46" s="7">
        <f t="shared" si="4"/>
        <v>6.9562500000000007</v>
      </c>
      <c r="Z46" s="10">
        <f t="shared" si="2"/>
        <v>2.7088200934579443</v>
      </c>
      <c r="AA46" s="7" t="s">
        <v>205</v>
      </c>
      <c r="AB46" s="7">
        <f t="shared" si="11"/>
        <v>2.7088200934579443</v>
      </c>
      <c r="AC46" s="7">
        <f t="shared" si="5"/>
        <v>0.43278016228196792</v>
      </c>
      <c r="AD46" s="23" t="s">
        <v>132</v>
      </c>
      <c r="AE46" s="23">
        <f>AVERAGE(AE34:AE45)</f>
        <v>217.315</v>
      </c>
      <c r="AF46" s="23">
        <f t="shared" ref="AF46:AG46" si="16">AVERAGE(AF34:AF45)</f>
        <v>1.8010000000000002</v>
      </c>
      <c r="AG46" s="23">
        <f t="shared" si="16"/>
        <v>2.1020000000000003</v>
      </c>
      <c r="AP46" s="7">
        <v>30</v>
      </c>
      <c r="AQ46" s="7">
        <v>48</v>
      </c>
      <c r="AR46" s="7">
        <v>1.3</v>
      </c>
    </row>
    <row r="47" spans="1:45" s="6" customFormat="1">
      <c r="A47" s="6" t="s">
        <v>206</v>
      </c>
      <c r="B47" s="6">
        <v>30</v>
      </c>
      <c r="C47" s="6">
        <v>12</v>
      </c>
      <c r="D47" s="6">
        <v>1</v>
      </c>
      <c r="E47" s="21">
        <v>0.82291666666666663</v>
      </c>
      <c r="F47" s="22">
        <v>38527</v>
      </c>
      <c r="G47" s="6">
        <f>AVERAGE(437.6,529.2)</f>
        <v>483.40000000000003</v>
      </c>
      <c r="H47" s="6">
        <v>1.83</v>
      </c>
      <c r="I47" s="6">
        <v>2.36</v>
      </c>
      <c r="J47" s="6" t="s">
        <v>534</v>
      </c>
      <c r="M47" s="7"/>
      <c r="N47" s="6" t="s">
        <v>11</v>
      </c>
      <c r="P47" s="6" t="s">
        <v>140</v>
      </c>
      <c r="Q47" s="6">
        <f t="shared" si="12"/>
        <v>4834</v>
      </c>
      <c r="R47" s="6" t="s">
        <v>47</v>
      </c>
      <c r="S47" s="6" t="s">
        <v>53</v>
      </c>
      <c r="T47" s="6" t="s">
        <v>96</v>
      </c>
      <c r="U47" s="6">
        <f>AVERAGE(101.6,103.5)</f>
        <v>102.55</v>
      </c>
      <c r="V47" s="6">
        <v>1.84</v>
      </c>
      <c r="W47" s="6">
        <v>2.36</v>
      </c>
      <c r="X47" s="6" t="s">
        <v>44</v>
      </c>
      <c r="Y47" s="6">
        <f t="shared" si="4"/>
        <v>12.81875</v>
      </c>
      <c r="Z47" s="10" t="s">
        <v>927</v>
      </c>
      <c r="AA47" s="6" t="s">
        <v>206</v>
      </c>
      <c r="AB47" s="6" t="s">
        <v>86</v>
      </c>
      <c r="AC47" s="6" t="s">
        <v>272</v>
      </c>
      <c r="AD47" s="36" t="s">
        <v>608</v>
      </c>
      <c r="AE47" s="36"/>
      <c r="AF47" s="36"/>
      <c r="AG47" s="36"/>
      <c r="AH47" s="36"/>
      <c r="AI47" s="36"/>
      <c r="AJ47" s="36"/>
      <c r="AK47" s="36"/>
      <c r="AL47" s="36"/>
      <c r="AP47" s="6">
        <v>30</v>
      </c>
      <c r="AQ47" s="6">
        <v>48</v>
      </c>
      <c r="AR47" s="6">
        <v>1.1000000000000001</v>
      </c>
    </row>
    <row r="48" spans="1:45" s="6" customFormat="1">
      <c r="A48" s="6" t="s">
        <v>207</v>
      </c>
      <c r="B48" s="6">
        <v>30</v>
      </c>
      <c r="C48" s="6">
        <v>12</v>
      </c>
      <c r="D48" s="6">
        <v>1</v>
      </c>
      <c r="E48" s="21">
        <v>0.82291666666666663</v>
      </c>
      <c r="F48" s="22">
        <v>38527</v>
      </c>
      <c r="G48" s="6">
        <v>303.60000000000002</v>
      </c>
      <c r="H48" s="6">
        <v>1.9</v>
      </c>
      <c r="I48" s="6">
        <f>AVERAGE(3.22,2.62)</f>
        <v>2.92</v>
      </c>
      <c r="J48" s="6">
        <v>107.1</v>
      </c>
      <c r="K48" s="6">
        <v>1.85</v>
      </c>
      <c r="L48" s="6">
        <v>1.18</v>
      </c>
      <c r="M48" s="6">
        <f t="shared" ref="M48:M55" si="17">J48*30/1000</f>
        <v>3.2130000000000001</v>
      </c>
      <c r="N48" s="6" t="s">
        <v>11</v>
      </c>
      <c r="P48" s="6" t="s">
        <v>140</v>
      </c>
      <c r="Q48" s="6">
        <f t="shared" si="12"/>
        <v>3036</v>
      </c>
      <c r="R48" s="6" t="s">
        <v>47</v>
      </c>
      <c r="S48" s="6" t="s">
        <v>54</v>
      </c>
      <c r="T48" s="6" t="s">
        <v>96</v>
      </c>
      <c r="U48" s="6">
        <f>AVERAGE(55.6,61.2)</f>
        <v>58.400000000000006</v>
      </c>
      <c r="V48" s="6">
        <v>1.8</v>
      </c>
      <c r="W48" s="6">
        <v>2.34</v>
      </c>
      <c r="X48" s="6" t="s">
        <v>44</v>
      </c>
      <c r="Y48" s="6">
        <f t="shared" si="4"/>
        <v>7.3000000000000007</v>
      </c>
      <c r="Z48" s="10">
        <f t="shared" si="2"/>
        <v>2.2720199190787427</v>
      </c>
      <c r="AA48" s="6" t="s">
        <v>207</v>
      </c>
      <c r="AB48" s="6">
        <f t="shared" si="11"/>
        <v>2.2720199190787427</v>
      </c>
      <c r="AC48" s="6">
        <f t="shared" si="5"/>
        <v>0.35641213456893783</v>
      </c>
      <c r="AD48" s="37" t="s">
        <v>607</v>
      </c>
      <c r="AE48" s="37">
        <v>380</v>
      </c>
      <c r="AF48" s="38">
        <v>1.69</v>
      </c>
      <c r="AG48" s="37">
        <v>1.82</v>
      </c>
      <c r="AH48" s="37" t="s">
        <v>557</v>
      </c>
      <c r="AI48" s="37">
        <v>11.4</v>
      </c>
      <c r="AJ48" s="37">
        <v>1.2</v>
      </c>
      <c r="AK48" s="37">
        <v>20.8</v>
      </c>
      <c r="AL48" s="39">
        <v>7.1440000000000001</v>
      </c>
    </row>
    <row r="49" spans="1:50" s="6" customFormat="1">
      <c r="A49" s="6" t="s">
        <v>208</v>
      </c>
      <c r="B49" s="6">
        <v>30</v>
      </c>
      <c r="C49" s="6">
        <v>12</v>
      </c>
      <c r="D49" s="6">
        <v>1</v>
      </c>
      <c r="E49" s="21">
        <v>0.82291666666666663</v>
      </c>
      <c r="F49" s="22">
        <v>38527</v>
      </c>
      <c r="G49" s="6">
        <v>352.9</v>
      </c>
      <c r="H49" s="6">
        <v>1.86</v>
      </c>
      <c r="I49" s="6">
        <v>2.52</v>
      </c>
      <c r="J49" s="6">
        <v>36.1</v>
      </c>
      <c r="K49" s="6">
        <v>1.95</v>
      </c>
      <c r="L49" s="6">
        <v>0.27</v>
      </c>
      <c r="M49" s="6">
        <f t="shared" si="17"/>
        <v>1.083</v>
      </c>
      <c r="N49" s="6" t="s">
        <v>11</v>
      </c>
      <c r="P49" s="6" t="s">
        <v>140</v>
      </c>
      <c r="Q49" s="6">
        <f t="shared" si="12"/>
        <v>3529</v>
      </c>
      <c r="R49" s="6" t="s">
        <v>47</v>
      </c>
      <c r="S49" s="6" t="s">
        <v>85</v>
      </c>
      <c r="T49" s="6" t="s">
        <v>96</v>
      </c>
      <c r="U49" s="6">
        <v>101.9</v>
      </c>
      <c r="V49" s="6">
        <v>1.83</v>
      </c>
      <c r="W49" s="6">
        <v>2.5</v>
      </c>
      <c r="X49" s="6" t="s">
        <v>44</v>
      </c>
      <c r="Y49" s="6">
        <f t="shared" si="4"/>
        <v>12.737500000000001</v>
      </c>
      <c r="Z49" s="10">
        <f t="shared" si="2"/>
        <v>11.761311172668515</v>
      </c>
      <c r="AA49" s="6" t="s">
        <v>208</v>
      </c>
      <c r="AB49" s="6">
        <f t="shared" si="11"/>
        <v>11.761311172668515</v>
      </c>
      <c r="AC49" s="6">
        <f t="shared" si="5"/>
        <v>1.0704557403891626</v>
      </c>
      <c r="AD49" s="37" t="s">
        <v>590</v>
      </c>
      <c r="AE49" s="37">
        <v>426</v>
      </c>
      <c r="AF49" s="38">
        <v>1.36</v>
      </c>
      <c r="AG49" s="37">
        <v>2.6</v>
      </c>
      <c r="AH49" s="37" t="s">
        <v>557</v>
      </c>
      <c r="AI49" s="37">
        <v>12.78</v>
      </c>
      <c r="AJ49" s="37">
        <v>1</v>
      </c>
      <c r="AK49" s="37">
        <v>21</v>
      </c>
      <c r="AL49" s="39">
        <v>8.0939999999999994</v>
      </c>
    </row>
    <row r="50" spans="1:50" s="6" customFormat="1">
      <c r="A50" s="6" t="s">
        <v>209</v>
      </c>
      <c r="B50" s="6">
        <v>30</v>
      </c>
      <c r="C50" s="6">
        <v>12</v>
      </c>
      <c r="D50" s="6">
        <v>2</v>
      </c>
      <c r="E50" s="21">
        <v>0.82291666666666663</v>
      </c>
      <c r="F50" s="22">
        <v>38527</v>
      </c>
      <c r="G50" s="6">
        <v>172.6</v>
      </c>
      <c r="H50" s="6">
        <v>1.97</v>
      </c>
      <c r="I50" s="6">
        <v>2.21</v>
      </c>
      <c r="J50" s="6">
        <v>30.2</v>
      </c>
      <c r="K50" s="6">
        <v>2.11</v>
      </c>
      <c r="L50" s="6">
        <v>0.15</v>
      </c>
      <c r="M50" s="6">
        <f t="shared" si="17"/>
        <v>0.90600000000000003</v>
      </c>
      <c r="N50" s="6" t="s">
        <v>11</v>
      </c>
      <c r="P50" s="6" t="s">
        <v>140</v>
      </c>
      <c r="Q50" s="6">
        <f t="shared" si="12"/>
        <v>1726</v>
      </c>
      <c r="R50" s="6" t="s">
        <v>281</v>
      </c>
      <c r="T50" s="6" t="s">
        <v>179</v>
      </c>
      <c r="U50" s="6">
        <v>59.3</v>
      </c>
      <c r="V50" s="6">
        <v>1.92</v>
      </c>
      <c r="W50" s="6">
        <f>AVERAGE(2.52,3.05)</f>
        <v>2.7850000000000001</v>
      </c>
      <c r="X50" s="6" t="s">
        <v>180</v>
      </c>
      <c r="Y50" s="6">
        <f>U50*25*2.5/1000</f>
        <v>3.7062499999999998</v>
      </c>
      <c r="Z50" s="10">
        <f t="shared" si="2"/>
        <v>4.0907836644591606</v>
      </c>
      <c r="AA50" s="6" t="s">
        <v>209</v>
      </c>
      <c r="AB50" s="6">
        <f t="shared" si="11"/>
        <v>4.0907836644591606</v>
      </c>
      <c r="AC50" s="6">
        <f t="shared" si="5"/>
        <v>0.61180651303152467</v>
      </c>
      <c r="AD50" s="37" t="s">
        <v>591</v>
      </c>
      <c r="AE50" s="37">
        <v>380</v>
      </c>
      <c r="AF50" s="38">
        <v>1.6</v>
      </c>
      <c r="AG50" s="37">
        <v>2.38</v>
      </c>
      <c r="AH50" s="37" t="s">
        <v>557</v>
      </c>
      <c r="AI50" s="37">
        <v>11.4</v>
      </c>
      <c r="AJ50" s="37">
        <v>1.2</v>
      </c>
      <c r="AK50" s="37">
        <v>20.8</v>
      </c>
      <c r="AL50" s="39">
        <v>7.1440000000000001</v>
      </c>
    </row>
    <row r="51" spans="1:50" s="6" customFormat="1">
      <c r="A51" s="6" t="s">
        <v>210</v>
      </c>
      <c r="B51" s="6">
        <v>30</v>
      </c>
      <c r="C51" s="6">
        <v>12</v>
      </c>
      <c r="D51" s="6">
        <v>2</v>
      </c>
      <c r="E51" s="21">
        <v>0.82291666666666663</v>
      </c>
      <c r="F51" s="22">
        <v>38527</v>
      </c>
      <c r="G51" s="6">
        <f>AVERAGE(326.9,323)</f>
        <v>324.95</v>
      </c>
      <c r="H51" s="6">
        <v>1.91</v>
      </c>
      <c r="I51" s="6">
        <v>2.46</v>
      </c>
      <c r="J51" s="6">
        <v>57</v>
      </c>
      <c r="K51" s="6">
        <v>1.95</v>
      </c>
      <c r="L51" s="6">
        <v>0.31</v>
      </c>
      <c r="M51" s="6">
        <f t="shared" si="17"/>
        <v>1.71</v>
      </c>
      <c r="N51" s="6" t="s">
        <v>11</v>
      </c>
      <c r="P51" s="6" t="s">
        <v>140</v>
      </c>
      <c r="Q51" s="6">
        <f t="shared" si="12"/>
        <v>3249.5</v>
      </c>
      <c r="R51" s="6" t="s">
        <v>281</v>
      </c>
      <c r="T51" s="6" t="s">
        <v>96</v>
      </c>
      <c r="U51" s="6">
        <f>AVERAGE(89,104.8)</f>
        <v>96.9</v>
      </c>
      <c r="V51" s="6">
        <v>1.74</v>
      </c>
      <c r="W51" s="6">
        <f>AVERAGE(2.87,2.77)</f>
        <v>2.8200000000000003</v>
      </c>
      <c r="X51" s="6" t="s">
        <v>282</v>
      </c>
      <c r="Y51" s="6">
        <f t="shared" si="4"/>
        <v>12.112500000000001</v>
      </c>
      <c r="Z51" s="10">
        <f t="shared" si="2"/>
        <v>7.0833333333333339</v>
      </c>
      <c r="AA51" s="6" t="s">
        <v>210</v>
      </c>
      <c r="AB51" s="6">
        <f t="shared" si="11"/>
        <v>7.0833333333333339</v>
      </c>
      <c r="AC51" s="6">
        <f t="shared" si="5"/>
        <v>0.85023767966666797</v>
      </c>
      <c r="AD51" s="36" t="s">
        <v>592</v>
      </c>
      <c r="AE51" s="36">
        <v>418</v>
      </c>
      <c r="AF51" s="40">
        <v>1.31</v>
      </c>
      <c r="AG51" s="36">
        <v>2.21</v>
      </c>
      <c r="AH51" s="36" t="s">
        <v>557</v>
      </c>
      <c r="AI51" s="36">
        <v>12.54</v>
      </c>
      <c r="AJ51" s="36">
        <v>1</v>
      </c>
      <c r="AK51" s="36">
        <v>21</v>
      </c>
      <c r="AL51" s="36">
        <v>7.9420000000000002</v>
      </c>
    </row>
    <row r="52" spans="1:50" s="6" customFormat="1">
      <c r="A52" s="6" t="s">
        <v>211</v>
      </c>
      <c r="B52" s="6">
        <v>30</v>
      </c>
      <c r="C52" s="6">
        <v>12</v>
      </c>
      <c r="D52" s="6">
        <v>2</v>
      </c>
      <c r="E52" s="21">
        <v>0.82291666666666663</v>
      </c>
      <c r="F52" s="22">
        <v>38527</v>
      </c>
      <c r="G52" s="6">
        <f>AVERAGE(401.3,395.5)</f>
        <v>398.4</v>
      </c>
      <c r="H52" s="6">
        <v>1.77</v>
      </c>
      <c r="I52" s="6">
        <v>2.54</v>
      </c>
      <c r="J52" s="6">
        <v>145</v>
      </c>
      <c r="K52" s="6">
        <v>1.81</v>
      </c>
      <c r="L52" s="6">
        <v>1.69</v>
      </c>
      <c r="M52" s="6">
        <f t="shared" si="17"/>
        <v>4.3499999999999996</v>
      </c>
      <c r="N52" s="6" t="s">
        <v>11</v>
      </c>
      <c r="P52" s="6" t="s">
        <v>140</v>
      </c>
      <c r="Q52" s="6">
        <f t="shared" si="12"/>
        <v>3984</v>
      </c>
      <c r="R52" s="6" t="s">
        <v>281</v>
      </c>
      <c r="S52" s="6" t="s">
        <v>171</v>
      </c>
      <c r="T52" s="6" t="s">
        <v>96</v>
      </c>
      <c r="U52" s="6">
        <f>AVERAGE(82.8,84.2)</f>
        <v>83.5</v>
      </c>
      <c r="V52" s="6">
        <v>1.72</v>
      </c>
      <c r="W52" s="6">
        <f>AVERAGE(2.23,3.07)</f>
        <v>2.65</v>
      </c>
      <c r="X52" s="6" t="s">
        <v>282</v>
      </c>
      <c r="Y52" s="6">
        <f t="shared" si="4"/>
        <v>10.4375</v>
      </c>
      <c r="Z52" s="10">
        <f t="shared" si="2"/>
        <v>2.3994252873563222</v>
      </c>
      <c r="AA52" s="6" t="s">
        <v>211</v>
      </c>
      <c r="AB52" s="6">
        <f t="shared" si="11"/>
        <v>2.3994252873563222</v>
      </c>
      <c r="AC52" s="6">
        <f t="shared" si="5"/>
        <v>0.38010723153702125</v>
      </c>
      <c r="AD52" s="36" t="s">
        <v>593</v>
      </c>
      <c r="AE52" s="36">
        <v>415</v>
      </c>
      <c r="AF52" s="40">
        <v>1.42</v>
      </c>
      <c r="AG52" s="36">
        <v>2.2599999999999998</v>
      </c>
      <c r="AH52" s="36" t="s">
        <v>557</v>
      </c>
      <c r="AI52" s="36">
        <v>12.45</v>
      </c>
      <c r="AJ52" s="36">
        <v>1</v>
      </c>
      <c r="AK52" s="36">
        <v>21</v>
      </c>
      <c r="AL52" s="36">
        <v>7.8849999999999998</v>
      </c>
    </row>
    <row r="53" spans="1:50" s="6" customFormat="1">
      <c r="A53" s="6" t="s">
        <v>212</v>
      </c>
      <c r="B53" s="6">
        <v>30</v>
      </c>
      <c r="C53" s="6">
        <v>12</v>
      </c>
      <c r="D53" s="6">
        <v>3</v>
      </c>
      <c r="E53" s="21">
        <v>0.82291666666666663</v>
      </c>
      <c r="F53" s="22">
        <v>38527</v>
      </c>
      <c r="G53" s="6">
        <v>182.3</v>
      </c>
      <c r="H53" s="6">
        <v>1.96</v>
      </c>
      <c r="I53" s="6">
        <v>2.09</v>
      </c>
      <c r="J53" s="6">
        <v>79.8</v>
      </c>
      <c r="K53" s="6">
        <v>1.9</v>
      </c>
      <c r="L53" s="6">
        <v>0.96</v>
      </c>
      <c r="M53" s="6">
        <f t="shared" si="17"/>
        <v>2.3940000000000001</v>
      </c>
      <c r="N53" s="6" t="s">
        <v>11</v>
      </c>
      <c r="P53" s="6" t="s">
        <v>140</v>
      </c>
      <c r="Q53" s="6">
        <f t="shared" si="12"/>
        <v>1823</v>
      </c>
      <c r="R53" s="6" t="s">
        <v>281</v>
      </c>
      <c r="S53" s="6" t="s">
        <v>48</v>
      </c>
      <c r="T53" s="6" t="s">
        <v>96</v>
      </c>
      <c r="U53" s="6">
        <f>AVERAGE(68.2,63.4)</f>
        <v>65.8</v>
      </c>
      <c r="V53" s="6">
        <v>1.87</v>
      </c>
      <c r="W53" s="6">
        <v>2.27</v>
      </c>
      <c r="X53" s="6" t="s">
        <v>180</v>
      </c>
      <c r="Y53" s="6">
        <f>U53*25*2.5/1000</f>
        <v>4.1124999999999998</v>
      </c>
      <c r="Z53" s="10">
        <f t="shared" si="2"/>
        <v>1.7178362573099413</v>
      </c>
      <c r="AA53" s="6" t="s">
        <v>212</v>
      </c>
      <c r="AB53" s="6">
        <f t="shared" si="11"/>
        <v>1.7178362573099413</v>
      </c>
      <c r="AC53" s="6">
        <f t="shared" si="5"/>
        <v>0.23498176488763878</v>
      </c>
      <c r="AD53" s="36" t="s">
        <v>594</v>
      </c>
      <c r="AE53" s="36">
        <v>278</v>
      </c>
      <c r="AF53" s="36">
        <v>1.96</v>
      </c>
      <c r="AG53" s="36">
        <v>1.95</v>
      </c>
      <c r="AH53" s="36"/>
      <c r="AI53" s="36">
        <v>8.34</v>
      </c>
      <c r="AJ53" s="36">
        <v>1.6</v>
      </c>
      <c r="AK53" s="36">
        <v>20.399999999999999</v>
      </c>
      <c r="AL53" s="36">
        <v>5.1151999999999997</v>
      </c>
    </row>
    <row r="54" spans="1:50" s="12" customFormat="1">
      <c r="A54" s="12" t="s">
        <v>213</v>
      </c>
      <c r="B54" s="12">
        <v>30</v>
      </c>
      <c r="C54" s="12">
        <v>12</v>
      </c>
      <c r="D54" s="12">
        <v>3</v>
      </c>
      <c r="E54" s="29">
        <v>0.82291666666666663</v>
      </c>
      <c r="F54" s="30">
        <v>38527</v>
      </c>
      <c r="G54" s="12">
        <v>211.8</v>
      </c>
      <c r="H54" s="12">
        <v>1.99</v>
      </c>
      <c r="I54" s="12">
        <v>2.69</v>
      </c>
      <c r="J54" s="12">
        <v>28</v>
      </c>
      <c r="K54" s="12">
        <v>2.12</v>
      </c>
      <c r="L54" s="12">
        <v>0.2</v>
      </c>
      <c r="M54" s="12">
        <f t="shared" si="17"/>
        <v>0.84</v>
      </c>
      <c r="N54" s="12" t="s">
        <v>11</v>
      </c>
      <c r="P54" s="12" t="s">
        <v>140</v>
      </c>
      <c r="Q54" s="12">
        <f t="shared" si="12"/>
        <v>2118</v>
      </c>
      <c r="R54" s="12" t="s">
        <v>281</v>
      </c>
      <c r="S54" s="12" t="s">
        <v>49</v>
      </c>
      <c r="T54" s="12" t="s">
        <v>96</v>
      </c>
      <c r="U54" s="12">
        <f>AVERAGE(71.7,67.8)</f>
        <v>69.75</v>
      </c>
      <c r="V54" s="12">
        <v>1.69</v>
      </c>
      <c r="W54" s="12">
        <v>1.98</v>
      </c>
      <c r="X54" s="12" t="s">
        <v>282</v>
      </c>
      <c r="Y54" s="12">
        <f t="shared" si="4"/>
        <v>8.71875</v>
      </c>
      <c r="Z54" s="10">
        <f t="shared" si="2"/>
        <v>10.379464285714286</v>
      </c>
      <c r="AA54" s="12" t="s">
        <v>213</v>
      </c>
      <c r="AB54" s="12">
        <f>Y54/M54</f>
        <v>10.379464285714286</v>
      </c>
      <c r="AC54" s="6">
        <f t="shared" si="5"/>
        <v>1.01617493889181</v>
      </c>
      <c r="AD54" s="37" t="s">
        <v>595</v>
      </c>
      <c r="AE54" s="37">
        <v>264</v>
      </c>
      <c r="AF54" s="37">
        <v>1.95</v>
      </c>
      <c r="AG54" s="37">
        <v>3.05</v>
      </c>
      <c r="AH54" s="38"/>
      <c r="AI54" s="37">
        <v>7.92</v>
      </c>
      <c r="AJ54" s="38">
        <v>1.7</v>
      </c>
      <c r="AK54" s="37">
        <v>20.3</v>
      </c>
      <c r="AL54" s="39">
        <v>4.8311999999999999</v>
      </c>
    </row>
    <row r="55" spans="1:50" s="6" customFormat="1">
      <c r="A55" s="6" t="s">
        <v>14</v>
      </c>
      <c r="B55" s="6">
        <v>30</v>
      </c>
      <c r="C55" s="6">
        <v>12</v>
      </c>
      <c r="D55" s="6">
        <v>3</v>
      </c>
      <c r="E55" s="21">
        <v>0.82291666666666663</v>
      </c>
      <c r="F55" s="22">
        <v>38527</v>
      </c>
      <c r="G55" s="6">
        <f>AVERAGE(191.5,193.5)</f>
        <v>192.5</v>
      </c>
      <c r="H55" s="6">
        <v>2</v>
      </c>
      <c r="I55" s="6">
        <v>2.08</v>
      </c>
      <c r="J55" s="6">
        <v>45.2</v>
      </c>
      <c r="K55" s="6">
        <v>1.82</v>
      </c>
      <c r="L55" s="6">
        <v>0.2</v>
      </c>
      <c r="M55" s="6">
        <f t="shared" si="17"/>
        <v>1.3560000000000001</v>
      </c>
      <c r="N55" s="6" t="s">
        <v>11</v>
      </c>
      <c r="P55" s="6" t="s">
        <v>140</v>
      </c>
      <c r="Q55" s="6">
        <f t="shared" si="12"/>
        <v>1925</v>
      </c>
      <c r="R55" s="6" t="s">
        <v>281</v>
      </c>
      <c r="S55" s="6" t="s">
        <v>50</v>
      </c>
      <c r="T55" s="6" t="s">
        <v>96</v>
      </c>
      <c r="U55" s="6">
        <f>AVERAGE(71.7,59.6)</f>
        <v>65.650000000000006</v>
      </c>
      <c r="V55" s="6">
        <v>1.67</v>
      </c>
      <c r="W55" s="6">
        <f>AVERAGE(1.59,2.35)</f>
        <v>1.9700000000000002</v>
      </c>
      <c r="X55" s="6" t="s">
        <v>282</v>
      </c>
      <c r="Y55" s="6">
        <f t="shared" si="4"/>
        <v>8.2062500000000025</v>
      </c>
      <c r="Z55" s="10">
        <f t="shared" si="2"/>
        <v>6.0518067846607684</v>
      </c>
      <c r="AA55" s="6" t="s">
        <v>14</v>
      </c>
      <c r="AB55" s="6" t="s">
        <v>522</v>
      </c>
      <c r="AC55" s="6" t="s">
        <v>272</v>
      </c>
      <c r="AD55" s="37" t="s">
        <v>596</v>
      </c>
      <c r="AE55" s="37">
        <v>237</v>
      </c>
      <c r="AF55" s="37">
        <v>1.91</v>
      </c>
      <c r="AG55" s="37">
        <v>1.72</v>
      </c>
      <c r="AH55" s="37"/>
      <c r="AI55" s="37">
        <v>7.11</v>
      </c>
      <c r="AJ55" s="37">
        <v>1.9</v>
      </c>
      <c r="AK55" s="37">
        <v>20.100000000000001</v>
      </c>
      <c r="AL55" s="39">
        <v>4.2896999999999998</v>
      </c>
    </row>
    <row r="56" spans="1:50" s="7" customFormat="1">
      <c r="A56" s="7" t="s">
        <v>77</v>
      </c>
      <c r="B56" s="7">
        <v>27</v>
      </c>
      <c r="C56" s="7">
        <v>24</v>
      </c>
      <c r="D56" s="7">
        <v>1</v>
      </c>
      <c r="E56" s="19">
        <v>0.32291666666666669</v>
      </c>
      <c r="F56" s="20">
        <v>38528</v>
      </c>
      <c r="G56" s="7">
        <v>202.2</v>
      </c>
      <c r="H56" s="7">
        <v>1.99</v>
      </c>
      <c r="I56" s="7">
        <v>3.02</v>
      </c>
      <c r="J56" s="7">
        <v>82.4</v>
      </c>
      <c r="K56" s="7">
        <v>1.87</v>
      </c>
      <c r="L56" s="7">
        <v>2.4700000000000002</v>
      </c>
      <c r="M56" s="7">
        <f t="shared" ref="M56:M58" si="18">J56*30/1000</f>
        <v>2.472</v>
      </c>
      <c r="N56" s="7" t="s">
        <v>11</v>
      </c>
      <c r="P56" s="7" t="s">
        <v>140</v>
      </c>
      <c r="Q56" s="7">
        <f t="shared" si="12"/>
        <v>2022</v>
      </c>
      <c r="R56" s="7" t="s">
        <v>281</v>
      </c>
      <c r="S56" s="7" t="s">
        <v>51</v>
      </c>
      <c r="T56" s="7" t="s">
        <v>179</v>
      </c>
      <c r="U56" s="7">
        <f>AVERAGE(55.8,58.6)</f>
        <v>57.2</v>
      </c>
      <c r="V56" s="7">
        <v>1.86</v>
      </c>
      <c r="W56" s="7">
        <v>2.48</v>
      </c>
      <c r="X56" s="7" t="s">
        <v>180</v>
      </c>
      <c r="Y56" s="7">
        <f>U56*25*2.5/1000</f>
        <v>3.5750000000000002</v>
      </c>
      <c r="Z56" s="10">
        <f t="shared" si="2"/>
        <v>1.4461974110032363</v>
      </c>
      <c r="AA56" s="7" t="s">
        <v>77</v>
      </c>
      <c r="AB56" s="7">
        <f>Y56/M56</f>
        <v>1.4461974110032363</v>
      </c>
      <c r="AC56" s="7">
        <f t="shared" si="5"/>
        <v>0.1602275797203212</v>
      </c>
      <c r="AD56" s="37" t="s">
        <v>597</v>
      </c>
      <c r="AE56" s="37">
        <v>435</v>
      </c>
      <c r="AF56" s="38">
        <v>1.22</v>
      </c>
      <c r="AG56" s="37">
        <v>2.46</v>
      </c>
      <c r="AH56" s="37" t="s">
        <v>557</v>
      </c>
      <c r="AI56" s="37">
        <v>13.05</v>
      </c>
      <c r="AJ56" s="37">
        <v>1</v>
      </c>
      <c r="AK56" s="37">
        <v>21</v>
      </c>
      <c r="AL56" s="39">
        <v>8.2650000000000006</v>
      </c>
    </row>
    <row r="57" spans="1:50" s="7" customFormat="1">
      <c r="A57" s="7" t="s">
        <v>78</v>
      </c>
      <c r="B57" s="7">
        <v>27</v>
      </c>
      <c r="C57" s="7">
        <v>24</v>
      </c>
      <c r="D57" s="7">
        <v>1</v>
      </c>
      <c r="E57" s="19">
        <v>0.32291666666666669</v>
      </c>
      <c r="F57" s="20">
        <v>38528</v>
      </c>
      <c r="G57" s="7">
        <f>AVERAGE(284.5,289.6)</f>
        <v>287.05</v>
      </c>
      <c r="H57" s="7">
        <v>1.96</v>
      </c>
      <c r="I57" s="7">
        <v>2.89</v>
      </c>
      <c r="J57" s="7" t="s">
        <v>86</v>
      </c>
      <c r="M57" s="7" t="s">
        <v>86</v>
      </c>
      <c r="N57" s="7" t="s">
        <v>11</v>
      </c>
      <c r="P57" s="7" t="s">
        <v>140</v>
      </c>
      <c r="Q57" s="7">
        <f t="shared" si="12"/>
        <v>2870.5</v>
      </c>
      <c r="R57" s="7" t="s">
        <v>281</v>
      </c>
      <c r="S57" s="7" t="s">
        <v>52</v>
      </c>
      <c r="T57" s="7" t="s">
        <v>96</v>
      </c>
      <c r="U57" s="7">
        <f>AVERAGE(70.6,78.5)</f>
        <v>74.55</v>
      </c>
      <c r="V57" s="7">
        <v>1.71</v>
      </c>
      <c r="W57" s="7">
        <v>2.29</v>
      </c>
      <c r="X57" s="7" t="s">
        <v>282</v>
      </c>
      <c r="Y57" s="7">
        <f t="shared" si="4"/>
        <v>9.3187499999999996</v>
      </c>
      <c r="Z57" s="10" t="s">
        <v>927</v>
      </c>
      <c r="AA57" s="7" t="s">
        <v>78</v>
      </c>
      <c r="AB57" s="7" t="s">
        <v>86</v>
      </c>
      <c r="AC57" s="7" t="s">
        <v>272</v>
      </c>
      <c r="AD57" s="36" t="s">
        <v>598</v>
      </c>
      <c r="AE57" s="36">
        <v>400</v>
      </c>
      <c r="AF57" s="40">
        <v>1.51</v>
      </c>
      <c r="AG57" s="36">
        <v>2.58</v>
      </c>
      <c r="AH57" s="36" t="s">
        <v>557</v>
      </c>
      <c r="AI57" s="36">
        <v>12</v>
      </c>
      <c r="AJ57" s="36">
        <v>1.1000000000000001</v>
      </c>
      <c r="AK57" s="36">
        <v>20.9</v>
      </c>
      <c r="AL57" s="36">
        <v>7.56</v>
      </c>
    </row>
    <row r="58" spans="1:50" s="7" customFormat="1">
      <c r="A58" s="7" t="s">
        <v>79</v>
      </c>
      <c r="B58" s="7">
        <v>27</v>
      </c>
      <c r="C58" s="7">
        <v>24</v>
      </c>
      <c r="D58" s="7">
        <v>1</v>
      </c>
      <c r="E58" s="19">
        <v>0.32291666666666669</v>
      </c>
      <c r="F58" s="20">
        <v>38528</v>
      </c>
      <c r="G58" s="7">
        <v>176.2</v>
      </c>
      <c r="H58" s="7">
        <v>2.0099999999999998</v>
      </c>
      <c r="I58" s="7">
        <v>2.84</v>
      </c>
      <c r="J58" s="7">
        <v>32.9</v>
      </c>
      <c r="K58" s="7">
        <v>1.88</v>
      </c>
      <c r="L58" s="7">
        <v>0.55000000000000004</v>
      </c>
      <c r="M58" s="7">
        <f t="shared" si="18"/>
        <v>0.98699999999999999</v>
      </c>
      <c r="N58" s="7" t="s">
        <v>11</v>
      </c>
      <c r="P58" s="7" t="s">
        <v>140</v>
      </c>
      <c r="Q58" s="7">
        <f t="shared" si="12"/>
        <v>1762</v>
      </c>
      <c r="R58" s="7" t="s">
        <v>281</v>
      </c>
      <c r="S58" s="7" t="s">
        <v>53</v>
      </c>
      <c r="T58" s="7" t="s">
        <v>96</v>
      </c>
      <c r="U58" s="7">
        <f>AVERAGE(52.2,49.8)</f>
        <v>51</v>
      </c>
      <c r="V58" s="7">
        <v>1.75</v>
      </c>
      <c r="W58" s="7">
        <f>AVERAGE(1.62,1.94)</f>
        <v>1.78</v>
      </c>
      <c r="X58" s="7" t="s">
        <v>282</v>
      </c>
      <c r="Y58" s="7">
        <f t="shared" si="4"/>
        <v>6.375</v>
      </c>
      <c r="Z58" s="10">
        <f t="shared" si="2"/>
        <v>6.4589665653495443</v>
      </c>
      <c r="AA58" s="7" t="s">
        <v>79</v>
      </c>
      <c r="AB58" s="7">
        <f>Y58/M58</f>
        <v>6.4589665653495443</v>
      </c>
      <c r="AC58" s="7">
        <f t="shared" si="5"/>
        <v>0.81016303643635601</v>
      </c>
      <c r="AD58" s="36" t="s">
        <v>599</v>
      </c>
      <c r="AE58" s="36">
        <v>408</v>
      </c>
      <c r="AF58" s="40">
        <v>1.44</v>
      </c>
      <c r="AG58" s="36">
        <v>2.5299999999999998</v>
      </c>
      <c r="AH58" s="36" t="s">
        <v>557</v>
      </c>
      <c r="AI58" s="36">
        <v>12.24</v>
      </c>
      <c r="AJ58" s="36">
        <v>1.1000000000000001</v>
      </c>
      <c r="AK58" s="36">
        <v>20.9</v>
      </c>
      <c r="AL58" s="36">
        <v>7.7111999999999998</v>
      </c>
      <c r="AS58" s="7" t="s">
        <v>626</v>
      </c>
    </row>
    <row r="59" spans="1:50" s="7" customFormat="1">
      <c r="A59" s="7" t="s">
        <v>80</v>
      </c>
      <c r="B59" s="7">
        <v>27</v>
      </c>
      <c r="C59" s="7">
        <v>24</v>
      </c>
      <c r="D59" s="7">
        <v>2</v>
      </c>
      <c r="E59" s="19">
        <v>0.32291666666666669</v>
      </c>
      <c r="F59" s="20">
        <v>38528</v>
      </c>
      <c r="G59" s="7">
        <f>AVERAGE(274.2,271.4)</f>
        <v>272.79999999999995</v>
      </c>
      <c r="H59" s="7">
        <v>1.87</v>
      </c>
      <c r="I59" s="7">
        <v>2.75</v>
      </c>
      <c r="J59" s="7" t="s">
        <v>86</v>
      </c>
      <c r="N59" s="7" t="s">
        <v>98</v>
      </c>
      <c r="P59" s="7" t="s">
        <v>140</v>
      </c>
      <c r="Q59" s="7">
        <f t="shared" si="12"/>
        <v>2727.9999999999995</v>
      </c>
      <c r="R59" s="7" t="s">
        <v>281</v>
      </c>
      <c r="S59" s="7" t="s">
        <v>54</v>
      </c>
      <c r="T59" s="7" t="s">
        <v>179</v>
      </c>
      <c r="U59" s="7">
        <v>80.5</v>
      </c>
      <c r="V59" s="7">
        <v>1.96</v>
      </c>
      <c r="W59" s="7">
        <v>2.6</v>
      </c>
      <c r="X59" s="7" t="s">
        <v>180</v>
      </c>
      <c r="Y59" s="7">
        <f>U59*25*2.5/1000</f>
        <v>5.03125</v>
      </c>
      <c r="Z59" s="10" t="s">
        <v>927</v>
      </c>
      <c r="AA59" s="7" t="s">
        <v>80</v>
      </c>
      <c r="AB59" s="7" t="s">
        <v>86</v>
      </c>
      <c r="AC59" s="7" t="s">
        <v>272</v>
      </c>
      <c r="AD59" s="36" t="s">
        <v>600</v>
      </c>
      <c r="AE59" s="36">
        <v>190</v>
      </c>
      <c r="AF59" s="36">
        <v>1.98</v>
      </c>
      <c r="AG59" s="36">
        <v>2.34</v>
      </c>
      <c r="AH59" s="36"/>
      <c r="AI59" s="36">
        <v>5.7</v>
      </c>
      <c r="AJ59" s="36">
        <v>2.2999999999999998</v>
      </c>
      <c r="AK59" s="36">
        <v>19.7</v>
      </c>
      <c r="AL59" s="36">
        <v>3.363</v>
      </c>
      <c r="AQ59" s="20">
        <v>39451</v>
      </c>
      <c r="AS59" s="7" t="s">
        <v>630</v>
      </c>
      <c r="AV59" s="7" t="s">
        <v>627</v>
      </c>
    </row>
    <row r="60" spans="1:50" s="7" customFormat="1">
      <c r="A60" s="7" t="s">
        <v>81</v>
      </c>
      <c r="B60" s="7">
        <v>27</v>
      </c>
      <c r="C60" s="7">
        <v>24</v>
      </c>
      <c r="D60" s="7">
        <v>2</v>
      </c>
      <c r="E60" s="19">
        <v>0.32291666666666669</v>
      </c>
      <c r="F60" s="20">
        <v>38528</v>
      </c>
      <c r="G60" s="7">
        <f>AVERAGE(166.5,163.9)</f>
        <v>165.2</v>
      </c>
      <c r="H60" s="7">
        <v>1.99</v>
      </c>
      <c r="I60" s="7">
        <f>AVERAGE(2.08,3.09)</f>
        <v>2.585</v>
      </c>
      <c r="J60" s="7" t="s">
        <v>86</v>
      </c>
      <c r="N60" s="7" t="s">
        <v>11</v>
      </c>
      <c r="P60" s="7" t="s">
        <v>140</v>
      </c>
      <c r="Q60" s="7">
        <f t="shared" si="12"/>
        <v>1652</v>
      </c>
      <c r="R60" s="7" t="s">
        <v>281</v>
      </c>
      <c r="S60" s="7" t="s">
        <v>85</v>
      </c>
      <c r="T60" s="7" t="s">
        <v>179</v>
      </c>
      <c r="U60" s="7">
        <v>53</v>
      </c>
      <c r="V60" s="7">
        <v>1.88</v>
      </c>
      <c r="W60" s="7">
        <f>AVERAGE(3.4,4.19)</f>
        <v>3.7949999999999999</v>
      </c>
      <c r="X60" s="7" t="s">
        <v>180</v>
      </c>
      <c r="Y60" s="7">
        <f>U60*25*2.5/1000</f>
        <v>3.3125</v>
      </c>
      <c r="Z60" s="10" t="s">
        <v>927</v>
      </c>
      <c r="AA60" s="7" t="s">
        <v>81</v>
      </c>
      <c r="AB60" s="7" t="s">
        <v>86</v>
      </c>
      <c r="AC60" s="7" t="s">
        <v>272</v>
      </c>
      <c r="AD60" s="37" t="s">
        <v>609</v>
      </c>
      <c r="AE60" s="37"/>
      <c r="AF60" s="37"/>
      <c r="AG60" s="37"/>
      <c r="AH60" s="37"/>
      <c r="AI60" s="37"/>
      <c r="AJ60" s="37"/>
      <c r="AK60" s="37"/>
      <c r="AL60" s="37" t="s">
        <v>611</v>
      </c>
      <c r="AM60" s="7" t="s">
        <v>613</v>
      </c>
      <c r="AN60" s="7" t="s">
        <v>614</v>
      </c>
      <c r="AO60" s="7" t="s">
        <v>615</v>
      </c>
      <c r="AP60" s="7" t="s">
        <v>616</v>
      </c>
      <c r="AQ60" s="7" t="s">
        <v>617</v>
      </c>
      <c r="AS60" s="7" t="s">
        <v>624</v>
      </c>
      <c r="AT60" s="7" t="s">
        <v>67</v>
      </c>
      <c r="AU60" s="7" t="s">
        <v>68</v>
      </c>
      <c r="AV60" s="7" t="s">
        <v>629</v>
      </c>
      <c r="AW60" s="7" t="s">
        <v>625</v>
      </c>
      <c r="AX60" s="7" t="s">
        <v>628</v>
      </c>
    </row>
    <row r="61" spans="1:50" s="7" customFormat="1">
      <c r="A61" s="7" t="s">
        <v>82</v>
      </c>
      <c r="B61" s="7">
        <v>27</v>
      </c>
      <c r="C61" s="7">
        <v>24</v>
      </c>
      <c r="D61" s="7">
        <v>2</v>
      </c>
      <c r="E61" s="19">
        <v>0.32291666666666669</v>
      </c>
      <c r="F61" s="20">
        <v>38528</v>
      </c>
      <c r="G61" s="7">
        <f>AVERAGE(292.9,313.4)</f>
        <v>303.14999999999998</v>
      </c>
      <c r="H61" s="7">
        <v>1.87</v>
      </c>
      <c r="I61" s="7">
        <v>2.75</v>
      </c>
      <c r="J61" s="7" t="s">
        <v>86</v>
      </c>
      <c r="N61" s="7" t="s">
        <v>98</v>
      </c>
      <c r="P61" s="7" t="s">
        <v>140</v>
      </c>
      <c r="Q61" s="7">
        <f t="shared" si="12"/>
        <v>3031.5</v>
      </c>
      <c r="R61" s="7" t="s">
        <v>281</v>
      </c>
      <c r="T61" s="7" t="s">
        <v>96</v>
      </c>
      <c r="U61" s="7">
        <f>AVERAGE(46.7,45.4)</f>
        <v>46.05</v>
      </c>
      <c r="V61" s="7">
        <v>1.63</v>
      </c>
      <c r="W61" s="7">
        <v>1.52</v>
      </c>
      <c r="X61" s="7" t="s">
        <v>44</v>
      </c>
      <c r="Y61" s="7">
        <f t="shared" si="4"/>
        <v>5.7562499999999996</v>
      </c>
      <c r="Z61" s="10" t="s">
        <v>927</v>
      </c>
      <c r="AA61" s="7" t="s">
        <v>82</v>
      </c>
      <c r="AB61" s="7" t="s">
        <v>86</v>
      </c>
      <c r="AC61" s="7" t="s">
        <v>272</v>
      </c>
      <c r="AD61" s="37" t="s">
        <v>601</v>
      </c>
      <c r="AE61" s="37">
        <v>398</v>
      </c>
      <c r="AF61" s="38">
        <v>1.52</v>
      </c>
      <c r="AG61" s="37">
        <v>2.42</v>
      </c>
      <c r="AH61" s="37" t="s">
        <v>557</v>
      </c>
      <c r="AI61" s="39">
        <v>11.94</v>
      </c>
      <c r="AJ61" s="39">
        <v>1.1000000000000001</v>
      </c>
      <c r="AK61" s="39">
        <v>20.9</v>
      </c>
      <c r="AL61" s="39">
        <v>7.5221999999999998</v>
      </c>
      <c r="AM61" s="7">
        <v>3</v>
      </c>
      <c r="AN61" s="7">
        <f>3000/AE61</f>
        <v>7.5376884422110555</v>
      </c>
      <c r="AO61" s="7">
        <v>7.5</v>
      </c>
      <c r="AP61" s="7">
        <f>50-AO61</f>
        <v>42.5</v>
      </c>
      <c r="AQ61" s="7">
        <v>1.8</v>
      </c>
      <c r="AR61" s="7" t="s">
        <v>618</v>
      </c>
      <c r="AS61" s="7">
        <v>28</v>
      </c>
      <c r="AT61" s="7">
        <v>1.85</v>
      </c>
      <c r="AU61" s="7">
        <v>0.2</v>
      </c>
      <c r="AV61" s="7">
        <v>1.9</v>
      </c>
      <c r="AW61" s="7">
        <v>2</v>
      </c>
      <c r="AX61" s="7">
        <v>8.9</v>
      </c>
    </row>
    <row r="62" spans="1:50" s="7" customFormat="1">
      <c r="A62" s="7" t="s">
        <v>10</v>
      </c>
      <c r="B62" s="7">
        <v>27</v>
      </c>
      <c r="C62" s="7">
        <v>24</v>
      </c>
      <c r="D62" s="7">
        <v>3</v>
      </c>
      <c r="E62" s="19">
        <v>0.32291666666666669</v>
      </c>
      <c r="F62" s="20">
        <v>38528</v>
      </c>
      <c r="G62" s="7">
        <f>AVERAGE(374.1,373.6)</f>
        <v>373.85</v>
      </c>
      <c r="H62" s="7">
        <v>1.82</v>
      </c>
      <c r="I62" s="7">
        <v>2.74</v>
      </c>
      <c r="J62" s="7" t="s">
        <v>86</v>
      </c>
      <c r="N62" s="7" t="s">
        <v>98</v>
      </c>
      <c r="P62" s="7" t="s">
        <v>140</v>
      </c>
      <c r="Q62" s="7">
        <f t="shared" si="12"/>
        <v>3738.5</v>
      </c>
      <c r="R62" s="7" t="s">
        <v>169</v>
      </c>
      <c r="T62" s="7" t="s">
        <v>96</v>
      </c>
      <c r="U62" s="7">
        <f>AVERAGE(63.9,68.1)</f>
        <v>66</v>
      </c>
      <c r="V62" s="7">
        <v>1.8</v>
      </c>
      <c r="W62" s="7">
        <f>AVERAGE(5.57,2.94)</f>
        <v>4.2549999999999999</v>
      </c>
      <c r="Y62" s="7">
        <f t="shared" si="4"/>
        <v>8.25</v>
      </c>
      <c r="Z62" s="10" t="s">
        <v>927</v>
      </c>
      <c r="AA62" s="7" t="s">
        <v>10</v>
      </c>
      <c r="AB62" s="7" t="s">
        <v>86</v>
      </c>
      <c r="AC62" s="7" t="s">
        <v>272</v>
      </c>
      <c r="AD62" s="37" t="s">
        <v>602</v>
      </c>
      <c r="AE62" s="37">
        <v>251</v>
      </c>
      <c r="AF62" s="37">
        <v>1.88</v>
      </c>
      <c r="AG62" s="37">
        <v>2.99</v>
      </c>
      <c r="AH62" s="37"/>
      <c r="AI62" s="39">
        <v>7.53</v>
      </c>
      <c r="AJ62" s="39">
        <v>1.8</v>
      </c>
      <c r="AK62" s="39">
        <v>20.2</v>
      </c>
      <c r="AL62" s="39">
        <v>4.5682</v>
      </c>
      <c r="AM62" s="7">
        <v>3</v>
      </c>
      <c r="AN62" s="7">
        <f>3000/AE62</f>
        <v>11.952191235059761</v>
      </c>
      <c r="AO62" s="7">
        <v>12</v>
      </c>
      <c r="AP62" s="7">
        <f t="shared" ref="AP62:AP66" si="19">50-AO62</f>
        <v>38</v>
      </c>
      <c r="AQ62" s="7">
        <v>0.75</v>
      </c>
      <c r="AR62" s="7" t="s">
        <v>619</v>
      </c>
      <c r="AS62" s="7">
        <v>16</v>
      </c>
      <c r="AT62" s="7">
        <v>1.96</v>
      </c>
      <c r="AU62" s="7">
        <v>0.49</v>
      </c>
      <c r="AV62" s="7">
        <v>0.3</v>
      </c>
      <c r="AW62" s="7">
        <v>4</v>
      </c>
      <c r="AX62" s="7">
        <v>1.3</v>
      </c>
    </row>
    <row r="63" spans="1:50" s="7" customFormat="1">
      <c r="A63" s="7" t="s">
        <v>148</v>
      </c>
      <c r="B63" s="7">
        <v>27</v>
      </c>
      <c r="C63" s="7">
        <v>24</v>
      </c>
      <c r="D63" s="7">
        <v>3</v>
      </c>
      <c r="E63" s="19">
        <v>0.32291666666666669</v>
      </c>
      <c r="F63" s="20">
        <v>38528</v>
      </c>
      <c r="G63" s="7">
        <v>339.7</v>
      </c>
      <c r="H63" s="7">
        <v>1.84</v>
      </c>
      <c r="I63" s="7">
        <v>2.6</v>
      </c>
      <c r="J63" s="7" t="s">
        <v>86</v>
      </c>
      <c r="N63" s="7" t="s">
        <v>98</v>
      </c>
      <c r="P63" s="7" t="s">
        <v>140</v>
      </c>
      <c r="Q63" s="7">
        <f t="shared" si="12"/>
        <v>3397</v>
      </c>
      <c r="R63" s="7" t="s">
        <v>169</v>
      </c>
      <c r="T63" s="7" t="s">
        <v>96</v>
      </c>
      <c r="U63" s="7">
        <f>AVERAGE(76.2,74)</f>
        <v>75.099999999999994</v>
      </c>
      <c r="V63" s="7">
        <v>1.79</v>
      </c>
      <c r="W63" s="7">
        <f>AVERAGE(2.28,2.09)</f>
        <v>2.1849999999999996</v>
      </c>
      <c r="Y63" s="7">
        <f t="shared" si="4"/>
        <v>9.3874999999999975</v>
      </c>
      <c r="Z63" s="10" t="s">
        <v>927</v>
      </c>
      <c r="AA63" s="7" t="s">
        <v>148</v>
      </c>
      <c r="AB63" s="7" t="s">
        <v>86</v>
      </c>
      <c r="AC63" s="7" t="s">
        <v>272</v>
      </c>
      <c r="AD63" s="37" t="s">
        <v>603</v>
      </c>
      <c r="AE63" s="37">
        <v>315</v>
      </c>
      <c r="AF63" s="37">
        <v>1.76</v>
      </c>
      <c r="AG63" s="37">
        <v>2.64</v>
      </c>
      <c r="AH63" s="37"/>
      <c r="AI63" s="39">
        <v>9.4499999999999993</v>
      </c>
      <c r="AJ63" s="39">
        <v>1.4</v>
      </c>
      <c r="AK63" s="39">
        <v>20.6</v>
      </c>
      <c r="AL63" s="39">
        <v>5.859</v>
      </c>
      <c r="AM63" s="7">
        <v>3</v>
      </c>
      <c r="AN63" s="7">
        <f t="shared" ref="AN63:AN66" si="20">3000/AE63</f>
        <v>9.5238095238095237</v>
      </c>
      <c r="AO63" s="7">
        <v>9.5</v>
      </c>
      <c r="AP63" s="7">
        <f t="shared" si="19"/>
        <v>40.5</v>
      </c>
      <c r="AQ63" s="7">
        <v>1.6</v>
      </c>
      <c r="AR63" s="7" t="s">
        <v>620</v>
      </c>
      <c r="AS63" s="7">
        <v>27</v>
      </c>
      <c r="AT63" s="7">
        <v>1.77</v>
      </c>
      <c r="AU63" s="7">
        <v>0.41</v>
      </c>
      <c r="AV63" s="7">
        <v>0.3</v>
      </c>
      <c r="AW63" s="7">
        <v>5</v>
      </c>
      <c r="AX63" s="7">
        <v>1.3</v>
      </c>
    </row>
    <row r="64" spans="1:50" s="7" customFormat="1">
      <c r="A64" s="7" t="s">
        <v>149</v>
      </c>
      <c r="B64" s="7">
        <v>27</v>
      </c>
      <c r="C64" s="7">
        <v>24</v>
      </c>
      <c r="D64" s="7">
        <v>3</v>
      </c>
      <c r="E64" s="19">
        <v>0.32291666666666669</v>
      </c>
      <c r="F64" s="20">
        <v>38528</v>
      </c>
      <c r="G64" s="7">
        <f>AVERAGE(412.1,408.3)</f>
        <v>410.20000000000005</v>
      </c>
      <c r="H64" s="7">
        <v>1.74</v>
      </c>
      <c r="I64" s="7">
        <v>2.64</v>
      </c>
      <c r="J64" s="7" t="s">
        <v>86</v>
      </c>
      <c r="N64" s="7" t="s">
        <v>98</v>
      </c>
      <c r="P64" s="7" t="s">
        <v>140</v>
      </c>
      <c r="Q64" s="7">
        <f t="shared" si="12"/>
        <v>4102</v>
      </c>
      <c r="R64" s="7" t="s">
        <v>169</v>
      </c>
      <c r="T64" s="7" t="s">
        <v>96</v>
      </c>
      <c r="U64" s="7">
        <f>AVERAGE(79.6,77.5)</f>
        <v>78.55</v>
      </c>
      <c r="V64" s="7">
        <v>1.81</v>
      </c>
      <c r="W64" s="7">
        <f>AVERAGE(2.7,2.38)</f>
        <v>2.54</v>
      </c>
      <c r="Y64" s="7">
        <f t="shared" si="4"/>
        <v>9.8187499999999996</v>
      </c>
      <c r="Z64" s="10" t="s">
        <v>927</v>
      </c>
      <c r="AA64" s="7" t="s">
        <v>149</v>
      </c>
      <c r="AB64" s="7" t="s">
        <v>86</v>
      </c>
      <c r="AC64" s="7" t="s">
        <v>272</v>
      </c>
      <c r="AD64" s="36" t="s">
        <v>604</v>
      </c>
      <c r="AE64" s="36">
        <v>351</v>
      </c>
      <c r="AF64" s="36">
        <v>1.71</v>
      </c>
      <c r="AG64" s="36">
        <v>2.36</v>
      </c>
      <c r="AH64" s="36"/>
      <c r="AI64" s="36">
        <v>10.53</v>
      </c>
      <c r="AJ64" s="36">
        <v>1.3</v>
      </c>
      <c r="AK64" s="36">
        <v>20.7</v>
      </c>
      <c r="AL64" s="36">
        <v>6.5636999999999999</v>
      </c>
      <c r="AM64" s="6">
        <v>3</v>
      </c>
      <c r="AN64" s="6">
        <f t="shared" si="20"/>
        <v>8.5470085470085468</v>
      </c>
      <c r="AO64" s="6">
        <v>8.5</v>
      </c>
      <c r="AP64" s="6">
        <f t="shared" si="19"/>
        <v>41.5</v>
      </c>
      <c r="AQ64" s="6">
        <v>2.1</v>
      </c>
      <c r="AR64" s="6" t="s">
        <v>621</v>
      </c>
      <c r="AS64" s="6">
        <v>26</v>
      </c>
      <c r="AT64" s="6">
        <v>1.62</v>
      </c>
      <c r="AU64" s="6">
        <v>0.54</v>
      </c>
      <c r="AV64" s="6">
        <v>0.7</v>
      </c>
      <c r="AW64" s="6">
        <v>6</v>
      </c>
      <c r="AX64" s="6">
        <v>3</v>
      </c>
    </row>
    <row r="65" spans="1:50" s="6" customFormat="1">
      <c r="A65" s="6" t="s">
        <v>235</v>
      </c>
      <c r="B65" s="6">
        <v>30</v>
      </c>
      <c r="C65" s="6">
        <v>24</v>
      </c>
      <c r="D65" s="6">
        <v>1</v>
      </c>
      <c r="E65" s="21">
        <v>0.32291666666666669</v>
      </c>
      <c r="F65" s="22">
        <v>38528</v>
      </c>
      <c r="G65" s="6">
        <v>242.2</v>
      </c>
      <c r="H65" s="6">
        <v>1.91</v>
      </c>
      <c r="I65" s="6">
        <v>2.5099999999999998</v>
      </c>
      <c r="J65" s="6" t="s">
        <v>86</v>
      </c>
      <c r="N65" s="6" t="s">
        <v>98</v>
      </c>
      <c r="P65" s="6" t="s">
        <v>140</v>
      </c>
      <c r="Q65" s="6">
        <f t="shared" si="12"/>
        <v>2422</v>
      </c>
      <c r="R65" s="6" t="s">
        <v>169</v>
      </c>
      <c r="T65" s="6" t="s">
        <v>96</v>
      </c>
      <c r="U65" s="6">
        <f>AVERAGE(36.3,33.3)</f>
        <v>34.799999999999997</v>
      </c>
      <c r="V65" s="6">
        <v>1.76</v>
      </c>
      <c r="W65" s="6">
        <v>1.7</v>
      </c>
      <c r="Y65" s="6">
        <f t="shared" si="4"/>
        <v>4.3499999999999988</v>
      </c>
      <c r="Z65" s="10" t="s">
        <v>927</v>
      </c>
      <c r="AA65" s="6" t="s">
        <v>235</v>
      </c>
      <c r="AB65" s="6" t="s">
        <v>86</v>
      </c>
      <c r="AC65" s="6" t="s">
        <v>272</v>
      </c>
      <c r="AD65" s="36" t="s">
        <v>605</v>
      </c>
      <c r="AE65" s="36">
        <v>345</v>
      </c>
      <c r="AF65" s="36">
        <v>1.75</v>
      </c>
      <c r="AG65" s="36">
        <v>2.73</v>
      </c>
      <c r="AH65" s="36"/>
      <c r="AI65" s="36">
        <v>10.35</v>
      </c>
      <c r="AJ65" s="36">
        <v>1.3</v>
      </c>
      <c r="AK65" s="36">
        <v>20.7</v>
      </c>
      <c r="AL65" s="36">
        <v>6.4515000000000002</v>
      </c>
      <c r="AM65" s="6">
        <v>3</v>
      </c>
      <c r="AN65" s="6">
        <f t="shared" si="20"/>
        <v>8.695652173913043</v>
      </c>
      <c r="AO65" s="6">
        <v>8.6999999999999993</v>
      </c>
      <c r="AP65" s="6">
        <f t="shared" si="19"/>
        <v>41.3</v>
      </c>
      <c r="AQ65" s="6">
        <v>1.55</v>
      </c>
      <c r="AR65" s="6" t="s">
        <v>622</v>
      </c>
      <c r="AS65" s="6">
        <v>25</v>
      </c>
      <c r="AT65" s="6">
        <v>1.84</v>
      </c>
      <c r="AU65" s="6">
        <v>0.32</v>
      </c>
      <c r="AV65" s="6">
        <v>0.8</v>
      </c>
      <c r="AW65" s="6">
        <v>7</v>
      </c>
      <c r="AX65" s="6">
        <v>3.6</v>
      </c>
    </row>
    <row r="66" spans="1:50" s="6" customFormat="1">
      <c r="A66" s="6" t="s">
        <v>236</v>
      </c>
      <c r="B66" s="6">
        <v>30</v>
      </c>
      <c r="C66" s="6">
        <v>24</v>
      </c>
      <c r="D66" s="6">
        <v>1</v>
      </c>
      <c r="E66" s="21">
        <v>0.32291666666666669</v>
      </c>
      <c r="F66" s="22">
        <v>38528</v>
      </c>
      <c r="G66" s="6">
        <f>AVERAGE(231,223.5)</f>
        <v>227.25</v>
      </c>
      <c r="H66" s="6">
        <v>2.04</v>
      </c>
      <c r="I66" s="6">
        <v>1.52</v>
      </c>
      <c r="J66" s="6">
        <v>26.2</v>
      </c>
      <c r="K66" s="6">
        <v>1.76</v>
      </c>
      <c r="L66" s="6">
        <v>0.19</v>
      </c>
      <c r="M66" s="6">
        <f>J66*30/1000</f>
        <v>0.78600000000000003</v>
      </c>
      <c r="N66" s="6" t="s">
        <v>15</v>
      </c>
      <c r="P66" s="6" t="s">
        <v>140</v>
      </c>
      <c r="Q66" s="6">
        <f t="shared" ref="Q66:Q91" si="21">10*G66</f>
        <v>2272.5</v>
      </c>
      <c r="R66" s="6" t="s">
        <v>169</v>
      </c>
      <c r="T66" s="6" t="s">
        <v>96</v>
      </c>
      <c r="U66" s="6">
        <f>AVERAGE(45.3,48.3)</f>
        <v>46.8</v>
      </c>
      <c r="V66" s="6">
        <v>1.71</v>
      </c>
      <c r="W66" s="6">
        <f>AVERAGE(2.49,1.75)</f>
        <v>2.12</v>
      </c>
      <c r="Y66" s="6">
        <f t="shared" si="4"/>
        <v>5.85</v>
      </c>
      <c r="Z66" s="10">
        <f t="shared" si="2"/>
        <v>7.4427480916030531</v>
      </c>
      <c r="AA66" s="6" t="s">
        <v>236</v>
      </c>
      <c r="AB66" s="6">
        <f>Y66/M66</f>
        <v>7.4427480916030531</v>
      </c>
      <c r="AC66" s="6">
        <f t="shared" si="5"/>
        <v>0.87173332004277249</v>
      </c>
      <c r="AD66" s="36" t="s">
        <v>606</v>
      </c>
      <c r="AE66" s="36">
        <v>328</v>
      </c>
      <c r="AF66" s="36">
        <v>1.77</v>
      </c>
      <c r="AG66" s="36">
        <v>2.54</v>
      </c>
      <c r="AH66" s="36"/>
      <c r="AI66" s="36">
        <v>9.84</v>
      </c>
      <c r="AJ66" s="36">
        <v>1.3</v>
      </c>
      <c r="AK66" s="36">
        <v>20.7</v>
      </c>
      <c r="AL66" s="36">
        <v>6.1336000000000004</v>
      </c>
      <c r="AM66" s="6">
        <v>3</v>
      </c>
      <c r="AN66" s="6">
        <f t="shared" si="20"/>
        <v>9.1463414634146343</v>
      </c>
      <c r="AO66" s="6">
        <v>9.1</v>
      </c>
      <c r="AP66" s="6">
        <f t="shared" si="19"/>
        <v>40.9</v>
      </c>
      <c r="AQ66" s="6">
        <v>2.1</v>
      </c>
      <c r="AR66" s="6" t="s">
        <v>623</v>
      </c>
      <c r="AS66" s="6">
        <v>16.5</v>
      </c>
      <c r="AT66" s="6">
        <v>2.08</v>
      </c>
      <c r="AU66" s="6">
        <v>0.12</v>
      </c>
      <c r="AV66" s="6">
        <v>0.7</v>
      </c>
      <c r="AW66" s="6">
        <v>12</v>
      </c>
      <c r="AX66" s="6">
        <v>3.4</v>
      </c>
    </row>
    <row r="67" spans="1:50" s="6" customFormat="1">
      <c r="A67" s="6" t="s">
        <v>237</v>
      </c>
      <c r="B67" s="6">
        <v>30</v>
      </c>
      <c r="C67" s="6">
        <v>24</v>
      </c>
      <c r="D67" s="6">
        <v>1</v>
      </c>
      <c r="E67" s="21">
        <v>0.32291666666666669</v>
      </c>
      <c r="F67" s="22">
        <v>38528</v>
      </c>
      <c r="G67" s="6">
        <v>328.7</v>
      </c>
      <c r="H67" s="6">
        <v>1.88</v>
      </c>
      <c r="I67" s="6">
        <v>2.0299999999999998</v>
      </c>
      <c r="J67" s="6" t="s">
        <v>86</v>
      </c>
      <c r="N67" s="6" t="s">
        <v>15</v>
      </c>
      <c r="P67" s="6" t="s">
        <v>140</v>
      </c>
      <c r="Q67" s="6">
        <f t="shared" si="21"/>
        <v>3287</v>
      </c>
      <c r="R67" s="6" t="s">
        <v>169</v>
      </c>
      <c r="T67" s="6" t="s">
        <v>96</v>
      </c>
      <c r="U67" s="6">
        <f>AVERAGE(44.9,47)</f>
        <v>45.95</v>
      </c>
      <c r="V67" s="6">
        <v>1.73</v>
      </c>
      <c r="W67" s="6">
        <v>2.2000000000000002</v>
      </c>
      <c r="Y67" s="6">
        <f t="shared" si="4"/>
        <v>5.7437500000000004</v>
      </c>
      <c r="Z67" s="10" t="s">
        <v>927</v>
      </c>
      <c r="AA67" s="6" t="s">
        <v>237</v>
      </c>
      <c r="AB67" s="6" t="s">
        <v>86</v>
      </c>
      <c r="AC67" s="6" t="s">
        <v>272</v>
      </c>
      <c r="AE67" s="6">
        <f>AVERAGE(AE61:AE66)</f>
        <v>331.33333333333331</v>
      </c>
      <c r="AI67" s="6">
        <f>AVERAGE(AI61:AI66)</f>
        <v>9.94</v>
      </c>
      <c r="AK67" s="7" t="s">
        <v>610</v>
      </c>
      <c r="AR67" s="6" t="s">
        <v>132</v>
      </c>
      <c r="AS67" s="6">
        <f>AVERAGE(AS61:AS66)</f>
        <v>23.083333333333332</v>
      </c>
      <c r="AT67" s="6">
        <f t="shared" ref="AT67:AU67" si="22">AVERAGE(AT61:AT66)</f>
        <v>1.8533333333333335</v>
      </c>
      <c r="AU67" s="6">
        <f t="shared" si="22"/>
        <v>0.34666666666666668</v>
      </c>
    </row>
    <row r="68" spans="1:50" s="6" customFormat="1">
      <c r="A68" s="6" t="s">
        <v>83</v>
      </c>
      <c r="B68" s="6">
        <v>30</v>
      </c>
      <c r="C68" s="6">
        <v>24</v>
      </c>
      <c r="D68" s="6">
        <v>2</v>
      </c>
      <c r="E68" s="21">
        <v>0.32291666666666669</v>
      </c>
      <c r="F68" s="22">
        <v>38528</v>
      </c>
      <c r="G68" s="6">
        <f>AVERAGE(372.1,367.4)</f>
        <v>369.75</v>
      </c>
      <c r="H68" s="6">
        <v>1.82</v>
      </c>
      <c r="I68" s="6">
        <v>2.6</v>
      </c>
      <c r="J68" s="6" t="s">
        <v>86</v>
      </c>
      <c r="N68" s="6" t="s">
        <v>143</v>
      </c>
      <c r="P68" s="6" t="s">
        <v>140</v>
      </c>
      <c r="Q68" s="6">
        <f t="shared" si="21"/>
        <v>3697.5</v>
      </c>
      <c r="R68" s="6" t="s">
        <v>169</v>
      </c>
      <c r="T68" s="6" t="s">
        <v>96</v>
      </c>
      <c r="U68" s="6">
        <f>AVERAGE(57.8,51.2)</f>
        <v>54.5</v>
      </c>
      <c r="V68" s="6">
        <v>1.81</v>
      </c>
      <c r="W68" s="6">
        <v>2.2400000000000002</v>
      </c>
      <c r="Y68" s="6">
        <f t="shared" si="4"/>
        <v>6.8125</v>
      </c>
      <c r="Z68" s="10" t="s">
        <v>927</v>
      </c>
      <c r="AA68" s="6" t="s">
        <v>83</v>
      </c>
      <c r="AB68" s="6" t="s">
        <v>86</v>
      </c>
      <c r="AC68" s="6" t="s">
        <v>272</v>
      </c>
    </row>
    <row r="69" spans="1:50" s="6" customFormat="1">
      <c r="A69" s="6" t="s">
        <v>84</v>
      </c>
      <c r="B69" s="6">
        <v>30</v>
      </c>
      <c r="C69" s="6">
        <v>24</v>
      </c>
      <c r="D69" s="6">
        <v>2</v>
      </c>
      <c r="E69" s="21">
        <v>0.32291666666666669</v>
      </c>
      <c r="F69" s="22">
        <v>38528</v>
      </c>
      <c r="G69" s="6">
        <f>AVERAGE(300.1,297.1)</f>
        <v>298.60000000000002</v>
      </c>
      <c r="H69" s="6">
        <v>1.9</v>
      </c>
      <c r="I69" s="6">
        <v>1.78</v>
      </c>
      <c r="J69" s="6" t="s">
        <v>86</v>
      </c>
      <c r="N69" s="6" t="s">
        <v>15</v>
      </c>
      <c r="P69" s="6" t="s">
        <v>140</v>
      </c>
      <c r="Q69" s="6">
        <f t="shared" si="21"/>
        <v>2986</v>
      </c>
      <c r="R69" s="6" t="s">
        <v>169</v>
      </c>
      <c r="T69" s="6" t="s">
        <v>96</v>
      </c>
      <c r="U69" s="6">
        <v>43.2</v>
      </c>
      <c r="V69" s="6">
        <v>1.78</v>
      </c>
      <c r="W69" s="6">
        <v>1.58</v>
      </c>
      <c r="Y69" s="6">
        <f t="shared" si="4"/>
        <v>5.4</v>
      </c>
      <c r="Z69" s="10" t="s">
        <v>927</v>
      </c>
      <c r="AA69" s="6" t="s">
        <v>84</v>
      </c>
      <c r="AB69" s="6" t="s">
        <v>86</v>
      </c>
      <c r="AC69" s="6" t="s">
        <v>272</v>
      </c>
      <c r="AG69" s="6" t="s">
        <v>612</v>
      </c>
      <c r="AR69" s="6" t="s">
        <v>631</v>
      </c>
    </row>
    <row r="70" spans="1:50" s="6" customFormat="1">
      <c r="A70" s="6" t="s">
        <v>214</v>
      </c>
      <c r="B70" s="6">
        <v>30</v>
      </c>
      <c r="C70" s="6">
        <v>24</v>
      </c>
      <c r="D70" s="6">
        <v>2</v>
      </c>
      <c r="E70" s="21">
        <v>0.32291666666666669</v>
      </c>
      <c r="F70" s="22">
        <v>38528</v>
      </c>
      <c r="G70" s="6">
        <v>314.5</v>
      </c>
      <c r="H70" s="6">
        <v>1.93</v>
      </c>
      <c r="I70" s="6">
        <v>2.37</v>
      </c>
      <c r="J70" s="6">
        <v>16.600000000000001</v>
      </c>
      <c r="K70" s="6">
        <v>1.82</v>
      </c>
      <c r="L70" s="6">
        <v>0.13</v>
      </c>
      <c r="M70" s="6">
        <f t="shared" ref="M70:M90" si="23">J70*30/1000</f>
        <v>0.49800000000000005</v>
      </c>
      <c r="N70" s="6" t="s">
        <v>15</v>
      </c>
      <c r="P70" s="6" t="s">
        <v>140</v>
      </c>
      <c r="Q70" s="6">
        <f t="shared" si="21"/>
        <v>3145</v>
      </c>
      <c r="R70" s="6" t="s">
        <v>169</v>
      </c>
      <c r="T70" s="6" t="s">
        <v>96</v>
      </c>
      <c r="U70" s="6">
        <v>53.6</v>
      </c>
      <c r="V70" s="6">
        <v>1.77</v>
      </c>
      <c r="W70" s="6">
        <v>2.2200000000000002</v>
      </c>
      <c r="Y70" s="6">
        <f t="shared" si="4"/>
        <v>6.7</v>
      </c>
      <c r="Z70" s="10">
        <f t="shared" ref="Z67:Z91" si="24">Y70/M70</f>
        <v>13.453815261044175</v>
      </c>
      <c r="AA70" s="6" t="s">
        <v>214</v>
      </c>
      <c r="AB70" s="6">
        <f t="shared" ref="AB70:AB90" si="25">Y70/M70</f>
        <v>13.453815261044175</v>
      </c>
      <c r="AC70" s="6">
        <f t="shared" si="5"/>
        <v>1.1288454599411089</v>
      </c>
    </row>
    <row r="71" spans="1:50" s="6" customFormat="1">
      <c r="A71" s="6" t="s">
        <v>35</v>
      </c>
      <c r="B71" s="6">
        <v>30</v>
      </c>
      <c r="C71" s="6">
        <v>24</v>
      </c>
      <c r="D71" s="6">
        <v>3</v>
      </c>
      <c r="E71" s="21">
        <v>0.32291666666666669</v>
      </c>
      <c r="F71" s="22">
        <v>38528</v>
      </c>
      <c r="G71" s="6">
        <v>165.7</v>
      </c>
      <c r="H71" s="6">
        <v>2.0499999999999998</v>
      </c>
      <c r="I71" s="6">
        <v>2.52</v>
      </c>
      <c r="J71" s="6">
        <f>AVERAGE(39,39.4,38.9)</f>
        <v>39.1</v>
      </c>
      <c r="K71" s="6">
        <v>1.92</v>
      </c>
      <c r="L71" s="6">
        <v>0.3</v>
      </c>
      <c r="M71" s="6">
        <f t="shared" si="23"/>
        <v>1.173</v>
      </c>
      <c r="N71" s="6" t="s">
        <v>15</v>
      </c>
      <c r="P71" s="6" t="s">
        <v>140</v>
      </c>
      <c r="Q71" s="6">
        <f t="shared" si="21"/>
        <v>1657</v>
      </c>
      <c r="R71" s="6" t="s">
        <v>169</v>
      </c>
      <c r="T71" s="6" t="s">
        <v>179</v>
      </c>
      <c r="U71" s="6">
        <v>55.2</v>
      </c>
      <c r="V71" s="6">
        <v>1.9</v>
      </c>
      <c r="W71" s="6">
        <f>AVERAGE(1.89,4.43)</f>
        <v>3.1599999999999997</v>
      </c>
      <c r="X71" s="6" t="s">
        <v>180</v>
      </c>
      <c r="Y71" s="6">
        <f>U71*25*2.5/1000</f>
        <v>3.45</v>
      </c>
      <c r="Z71" s="10">
        <f t="shared" si="24"/>
        <v>2.9411764705882355</v>
      </c>
      <c r="AA71" s="6" t="s">
        <v>35</v>
      </c>
      <c r="AB71" s="6">
        <f t="shared" si="25"/>
        <v>2.9411764705882355</v>
      </c>
      <c r="AC71" s="6">
        <f t="shared" si="5"/>
        <v>0.46852108295774492</v>
      </c>
      <c r="AE71" s="6">
        <f>AVERAGE(Z71:Z73)</f>
        <v>3.273252171872866</v>
      </c>
    </row>
    <row r="72" spans="1:50" s="6" customFormat="1">
      <c r="A72" s="6" t="s">
        <v>154</v>
      </c>
      <c r="B72" s="6">
        <v>30</v>
      </c>
      <c r="C72" s="6">
        <v>24</v>
      </c>
      <c r="D72" s="6">
        <v>3</v>
      </c>
      <c r="E72" s="21">
        <v>0.32291666666666669</v>
      </c>
      <c r="F72" s="22">
        <v>38528</v>
      </c>
      <c r="G72" s="6">
        <f>AVERAGE(155,157.9)</f>
        <v>156.44999999999999</v>
      </c>
      <c r="H72" s="6">
        <v>1.883</v>
      </c>
      <c r="I72" s="6">
        <v>2.44</v>
      </c>
      <c r="J72" s="6">
        <f>AVERAGE(35.3,40.1,44.3)</f>
        <v>39.9</v>
      </c>
      <c r="K72" s="6">
        <v>1.51</v>
      </c>
      <c r="L72" s="6">
        <v>0.2</v>
      </c>
      <c r="M72" s="6">
        <f t="shared" si="23"/>
        <v>1.1970000000000001</v>
      </c>
      <c r="N72" s="6" t="s">
        <v>15</v>
      </c>
      <c r="P72" s="6" t="s">
        <v>140</v>
      </c>
      <c r="Q72" s="6">
        <f t="shared" si="21"/>
        <v>1564.5</v>
      </c>
      <c r="R72" s="6" t="s">
        <v>169</v>
      </c>
      <c r="T72" s="6" t="s">
        <v>179</v>
      </c>
      <c r="U72" s="6">
        <v>25.1</v>
      </c>
      <c r="V72" s="6">
        <v>1.9</v>
      </c>
      <c r="W72" s="6">
        <f>AVERAGE(1.95,2.5)</f>
        <v>2.2250000000000001</v>
      </c>
      <c r="X72" s="6" t="s">
        <v>180</v>
      </c>
      <c r="Y72" s="6">
        <f>U72*25*2.5/1000</f>
        <v>1.5687500000000001</v>
      </c>
      <c r="Z72" s="10">
        <f t="shared" si="24"/>
        <v>1.3105680868838763</v>
      </c>
      <c r="AA72" s="6" t="s">
        <v>154</v>
      </c>
      <c r="AB72" s="6">
        <f t="shared" si="25"/>
        <v>1.3105680868838763</v>
      </c>
      <c r="AC72" s="6">
        <f t="shared" si="5"/>
        <v>0.11745958841870266</v>
      </c>
    </row>
    <row r="73" spans="1:50" s="12" customFormat="1">
      <c r="A73" s="12" t="s">
        <v>155</v>
      </c>
      <c r="B73" s="12">
        <v>30</v>
      </c>
      <c r="C73" s="12">
        <v>24</v>
      </c>
      <c r="D73" s="12">
        <v>3</v>
      </c>
      <c r="E73" s="29">
        <v>0.32291666666666669</v>
      </c>
      <c r="F73" s="30">
        <v>38528</v>
      </c>
      <c r="G73" s="12">
        <v>208.7</v>
      </c>
      <c r="H73" s="12">
        <v>1.95</v>
      </c>
      <c r="I73" s="12">
        <v>2.3199999999999998</v>
      </c>
      <c r="J73" s="6">
        <v>22.3</v>
      </c>
      <c r="K73" s="6">
        <f>AVERAGE(2.02,2.04,1.91)</f>
        <v>1.9900000000000002</v>
      </c>
      <c r="L73" s="6">
        <v>0.21</v>
      </c>
      <c r="M73" s="6">
        <f t="shared" si="23"/>
        <v>0.66900000000000004</v>
      </c>
      <c r="N73" s="12" t="s">
        <v>134</v>
      </c>
      <c r="P73" s="12" t="s">
        <v>140</v>
      </c>
      <c r="Q73" s="12">
        <f t="shared" si="21"/>
        <v>2087</v>
      </c>
      <c r="R73" s="12" t="s">
        <v>169</v>
      </c>
      <c r="T73" s="12" t="s">
        <v>96</v>
      </c>
      <c r="U73" s="12">
        <f>AVERAGE(32.3,27.3)</f>
        <v>29.799999999999997</v>
      </c>
      <c r="V73" s="12">
        <v>1.59</v>
      </c>
      <c r="W73" s="12">
        <f>AVERAGE(1.52,2.32)</f>
        <v>1.92</v>
      </c>
      <c r="Y73" s="12">
        <f t="shared" si="4"/>
        <v>3.7249999999999996</v>
      </c>
      <c r="Z73" s="10">
        <f t="shared" si="24"/>
        <v>5.5680119581464869</v>
      </c>
      <c r="AA73" s="12" t="s">
        <v>155</v>
      </c>
      <c r="AB73" s="12">
        <f t="shared" si="25"/>
        <v>5.5680119581464869</v>
      </c>
      <c r="AC73" s="6">
        <f t="shared" si="5"/>
        <v>0.74570015931648848</v>
      </c>
      <c r="AE73" s="12">
        <f>AVERAGE(Z74:Z76)</f>
        <v>4.672995397370264</v>
      </c>
    </row>
    <row r="74" spans="1:50" s="7" customFormat="1">
      <c r="A74" s="7" t="s">
        <v>110</v>
      </c>
      <c r="B74" s="7">
        <v>27</v>
      </c>
      <c r="C74" s="7">
        <v>48</v>
      </c>
      <c r="D74" s="7">
        <v>1</v>
      </c>
      <c r="E74" s="19">
        <v>0.32291666666666669</v>
      </c>
      <c r="F74" s="20">
        <v>38529</v>
      </c>
      <c r="G74" s="7">
        <v>178.5</v>
      </c>
      <c r="H74" s="7">
        <v>1.96</v>
      </c>
      <c r="I74" s="7">
        <v>1</v>
      </c>
      <c r="J74" s="7">
        <v>22.1</v>
      </c>
      <c r="K74" s="7">
        <v>1.84</v>
      </c>
      <c r="L74" s="7">
        <v>0.19</v>
      </c>
      <c r="M74" s="7">
        <f t="shared" si="23"/>
        <v>0.66300000000000003</v>
      </c>
      <c r="N74" s="7" t="s">
        <v>15</v>
      </c>
      <c r="P74" s="7" t="s">
        <v>140</v>
      </c>
      <c r="Q74" s="7">
        <f t="shared" si="21"/>
        <v>1785</v>
      </c>
      <c r="R74" s="7" t="s">
        <v>169</v>
      </c>
      <c r="T74" s="7" t="s">
        <v>96</v>
      </c>
      <c r="U74" s="7">
        <f>AVERAGE(30.6,33.7)</f>
        <v>32.150000000000006</v>
      </c>
      <c r="V74" s="10">
        <v>1.63</v>
      </c>
      <c r="W74" s="7">
        <v>2.14</v>
      </c>
      <c r="Y74" s="7">
        <f t="shared" si="4"/>
        <v>4.0187500000000007</v>
      </c>
      <c r="Z74" s="10">
        <f t="shared" si="24"/>
        <v>6.0614630467571651</v>
      </c>
      <c r="AA74" s="7" t="s">
        <v>110</v>
      </c>
      <c r="AB74" s="7">
        <f t="shared" si="25"/>
        <v>6.0614630467571651</v>
      </c>
      <c r="AC74" s="7">
        <f t="shared" si="5"/>
        <v>0.78257746186352417</v>
      </c>
      <c r="AE74" s="7">
        <f>AVERAGE(Z77:Z78)</f>
        <v>2.4056787089209379</v>
      </c>
    </row>
    <row r="75" spans="1:50" s="7" customFormat="1">
      <c r="A75" s="7" t="s">
        <v>111</v>
      </c>
      <c r="B75" s="7">
        <v>27</v>
      </c>
      <c r="C75" s="7">
        <v>48</v>
      </c>
      <c r="D75" s="7">
        <v>1</v>
      </c>
      <c r="E75" s="19">
        <v>0.32291666666666669</v>
      </c>
      <c r="F75" s="20">
        <v>38529</v>
      </c>
      <c r="G75" s="7">
        <v>266.10000000000002</v>
      </c>
      <c r="H75" s="7">
        <v>1.98</v>
      </c>
      <c r="I75" s="7">
        <v>2.2799999999999998</v>
      </c>
      <c r="J75" s="7">
        <v>49.8</v>
      </c>
      <c r="K75" s="7">
        <f>AVERAGE(1.86,1.83,2.01)</f>
        <v>1.9000000000000001</v>
      </c>
      <c r="L75" s="7">
        <v>0.24</v>
      </c>
      <c r="M75" s="7">
        <f t="shared" si="23"/>
        <v>1.494</v>
      </c>
      <c r="N75" s="7" t="s">
        <v>15</v>
      </c>
      <c r="P75" s="7" t="s">
        <v>140</v>
      </c>
      <c r="Q75" s="7">
        <f t="shared" si="21"/>
        <v>2661</v>
      </c>
      <c r="R75" s="7" t="s">
        <v>169</v>
      </c>
      <c r="T75" s="7" t="s">
        <v>96</v>
      </c>
      <c r="U75" s="7">
        <v>61.9</v>
      </c>
      <c r="V75" s="7">
        <v>1.76</v>
      </c>
      <c r="W75" s="7">
        <f>AVERAGE(1.84,2.5)</f>
        <v>2.17</v>
      </c>
      <c r="Y75" s="7">
        <f t="shared" si="4"/>
        <v>7.7374999999999998</v>
      </c>
      <c r="Z75" s="10">
        <f t="shared" si="24"/>
        <v>5.17904953145917</v>
      </c>
      <c r="AA75" s="7" t="s">
        <v>111</v>
      </c>
      <c r="AB75" s="7">
        <f t="shared" si="25"/>
        <v>5.17904953145917</v>
      </c>
      <c r="AC75" s="7">
        <f t="shared" si="5"/>
        <v>0.71425006454879447</v>
      </c>
    </row>
    <row r="76" spans="1:50" s="7" customFormat="1">
      <c r="A76" s="7" t="s">
        <v>112</v>
      </c>
      <c r="B76" s="7">
        <v>27</v>
      </c>
      <c r="C76" s="7">
        <v>48</v>
      </c>
      <c r="D76" s="7">
        <v>1</v>
      </c>
      <c r="E76" s="19">
        <v>0.32291666666666669</v>
      </c>
      <c r="F76" s="20">
        <v>38529</v>
      </c>
      <c r="G76" s="7">
        <v>269.39999999999998</v>
      </c>
      <c r="H76" s="7">
        <v>1.99</v>
      </c>
      <c r="I76" s="7">
        <v>2.4500000000000002</v>
      </c>
      <c r="J76" s="7">
        <v>99.8</v>
      </c>
      <c r="K76" s="7">
        <v>1.9</v>
      </c>
      <c r="L76" s="7">
        <v>2.97</v>
      </c>
      <c r="M76" s="7">
        <f t="shared" si="23"/>
        <v>2.9940000000000002</v>
      </c>
      <c r="N76" s="7" t="s">
        <v>15</v>
      </c>
      <c r="P76" s="7" t="s">
        <v>140</v>
      </c>
      <c r="Q76" s="7">
        <f t="shared" si="21"/>
        <v>2694</v>
      </c>
      <c r="R76" s="7" t="s">
        <v>169</v>
      </c>
      <c r="T76" s="7" t="s">
        <v>96</v>
      </c>
      <c r="U76" s="7">
        <f>AVERAGE(62.5,70.6)</f>
        <v>66.55</v>
      </c>
      <c r="V76" s="7">
        <v>1.85</v>
      </c>
      <c r="W76" s="7">
        <f>AVERAGE(2.15,1.48)</f>
        <v>1.8149999999999999</v>
      </c>
      <c r="Y76" s="7">
        <f t="shared" si="4"/>
        <v>8.3187499999999996</v>
      </c>
      <c r="Z76" s="10">
        <f t="shared" si="24"/>
        <v>2.7784736138944552</v>
      </c>
      <c r="AA76" s="7" t="s">
        <v>112</v>
      </c>
      <c r="AB76" s="7">
        <f t="shared" si="25"/>
        <v>2.7784736138944552</v>
      </c>
      <c r="AC76" s="7">
        <f t="shared" si="5"/>
        <v>0.44380627681171675</v>
      </c>
    </row>
    <row r="77" spans="1:50" s="7" customFormat="1">
      <c r="A77" s="7" t="s">
        <v>113</v>
      </c>
      <c r="B77" s="7">
        <v>27</v>
      </c>
      <c r="C77" s="7">
        <v>48</v>
      </c>
      <c r="D77" s="7">
        <v>2</v>
      </c>
      <c r="E77" s="19">
        <v>0.32291666666666669</v>
      </c>
      <c r="F77" s="20">
        <v>38529</v>
      </c>
      <c r="G77" s="7">
        <v>231.5</v>
      </c>
      <c r="H77" s="7">
        <v>1.96</v>
      </c>
      <c r="I77" s="7">
        <v>2.2200000000000002</v>
      </c>
      <c r="J77" s="7">
        <v>52.3</v>
      </c>
      <c r="K77" s="7">
        <v>1.94</v>
      </c>
      <c r="L77" s="7">
        <v>0.39</v>
      </c>
      <c r="M77" s="7">
        <f t="shared" si="23"/>
        <v>1.569</v>
      </c>
      <c r="N77" s="7" t="s">
        <v>15</v>
      </c>
      <c r="P77" s="7" t="s">
        <v>140</v>
      </c>
      <c r="Q77" s="7">
        <f t="shared" si="21"/>
        <v>2315</v>
      </c>
      <c r="R77" s="7" t="s">
        <v>169</v>
      </c>
      <c r="T77" s="7" t="s">
        <v>96</v>
      </c>
      <c r="U77" s="7">
        <v>47.6</v>
      </c>
      <c r="V77" s="7">
        <v>1.67</v>
      </c>
      <c r="W77" s="7">
        <v>1.36</v>
      </c>
      <c r="Y77" s="7">
        <f t="shared" si="4"/>
        <v>5.95</v>
      </c>
      <c r="Z77" s="10">
        <f t="shared" si="24"/>
        <v>3.7922243467176546</v>
      </c>
      <c r="AA77" s="7" t="s">
        <v>113</v>
      </c>
      <c r="AB77" s="7">
        <f t="shared" si="25"/>
        <v>3.7922243467176546</v>
      </c>
      <c r="AC77" s="7">
        <f t="shared" si="5"/>
        <v>0.5788940221416129</v>
      </c>
    </row>
    <row r="78" spans="1:50" s="7" customFormat="1">
      <c r="A78" s="7" t="s">
        <v>125</v>
      </c>
      <c r="B78" s="7">
        <v>27</v>
      </c>
      <c r="C78" s="7">
        <v>48</v>
      </c>
      <c r="D78" s="7">
        <v>2</v>
      </c>
      <c r="E78" s="19">
        <v>0.32291666666666669</v>
      </c>
      <c r="F78" s="20">
        <v>38529</v>
      </c>
      <c r="G78" s="7">
        <v>142</v>
      </c>
      <c r="H78" s="7">
        <v>2.0299999999999998</v>
      </c>
      <c r="I78" s="7">
        <v>1.35</v>
      </c>
      <c r="J78" s="7">
        <v>101.7</v>
      </c>
      <c r="K78" s="7">
        <v>1.89</v>
      </c>
      <c r="L78" s="7">
        <v>2.88</v>
      </c>
      <c r="M78" s="7">
        <f t="shared" si="23"/>
        <v>3.0510000000000002</v>
      </c>
      <c r="N78" s="7" t="s">
        <v>15</v>
      </c>
      <c r="P78" s="7" t="s">
        <v>140</v>
      </c>
      <c r="Q78" s="7">
        <f t="shared" si="21"/>
        <v>1420</v>
      </c>
      <c r="R78" s="7" t="s">
        <v>169</v>
      </c>
      <c r="T78" s="7" t="s">
        <v>179</v>
      </c>
      <c r="U78" s="7">
        <f>AVERAGE(46.3,53.2)</f>
        <v>49.75</v>
      </c>
      <c r="V78" s="7">
        <v>1.93</v>
      </c>
      <c r="W78" s="7">
        <f>AVERAGE(3.26,2.36)</f>
        <v>2.8099999999999996</v>
      </c>
      <c r="X78" s="7" t="s">
        <v>180</v>
      </c>
      <c r="Y78" s="7">
        <f>U78*25*2.5/1000</f>
        <v>3.109375</v>
      </c>
      <c r="Z78" s="10">
        <f t="shared" si="24"/>
        <v>1.0191330711242215</v>
      </c>
      <c r="AA78" s="7" t="s">
        <v>125</v>
      </c>
      <c r="AB78" s="7">
        <f t="shared" si="25"/>
        <v>1.0191330711242215</v>
      </c>
      <c r="AC78" s="7">
        <f t="shared" si="5"/>
        <v>8.2308947834124017E-3</v>
      </c>
    </row>
    <row r="79" spans="1:50" s="7" customFormat="1">
      <c r="A79" s="7" t="s">
        <v>126</v>
      </c>
      <c r="B79" s="7">
        <v>27</v>
      </c>
      <c r="C79" s="7">
        <v>48</v>
      </c>
      <c r="D79" s="7">
        <v>2</v>
      </c>
      <c r="E79" s="19">
        <v>0.32291666666666669</v>
      </c>
      <c r="F79" s="20">
        <v>38529</v>
      </c>
      <c r="G79" s="7">
        <v>195.2</v>
      </c>
      <c r="H79" s="7">
        <v>1.9</v>
      </c>
      <c r="I79" s="7">
        <v>1.61</v>
      </c>
      <c r="J79" s="7" t="s">
        <v>86</v>
      </c>
      <c r="N79" s="7" t="s">
        <v>137</v>
      </c>
      <c r="P79" s="7" t="s">
        <v>140</v>
      </c>
      <c r="Q79" s="7">
        <f t="shared" si="21"/>
        <v>1952</v>
      </c>
      <c r="R79" s="7" t="s">
        <v>169</v>
      </c>
      <c r="S79" s="7">
        <f>20*15</f>
        <v>300</v>
      </c>
      <c r="T79" s="7" t="s">
        <v>179</v>
      </c>
      <c r="U79" s="7">
        <f>AVERAGE(57.3,55.5)</f>
        <v>56.4</v>
      </c>
      <c r="V79" s="7">
        <v>1.86</v>
      </c>
      <c r="W79" s="7">
        <f>AVERAGE(2.79,1.91)</f>
        <v>2.35</v>
      </c>
      <c r="X79" s="7" t="s">
        <v>180</v>
      </c>
      <c r="Y79" s="7">
        <f>U79*25*2.5/1000</f>
        <v>3.5249999999999999</v>
      </c>
      <c r="Z79" s="10" t="s">
        <v>927</v>
      </c>
      <c r="AA79" s="7" t="s">
        <v>126</v>
      </c>
      <c r="AB79" s="7" t="s">
        <v>86</v>
      </c>
      <c r="AC79" s="7" t="s">
        <v>272</v>
      </c>
    </row>
    <row r="80" spans="1:50" s="7" customFormat="1">
      <c r="A80" s="7" t="s">
        <v>127</v>
      </c>
      <c r="B80" s="7">
        <v>27</v>
      </c>
      <c r="C80" s="7">
        <v>48</v>
      </c>
      <c r="D80" s="7">
        <v>3</v>
      </c>
      <c r="E80" s="19">
        <v>0.32291666666666669</v>
      </c>
      <c r="F80" s="20">
        <v>38529</v>
      </c>
      <c r="G80" s="7">
        <v>210</v>
      </c>
      <c r="H80" s="7">
        <v>1.89</v>
      </c>
      <c r="I80" s="7">
        <v>1.33</v>
      </c>
      <c r="J80" s="7" t="s">
        <v>86</v>
      </c>
      <c r="N80" s="7" t="s">
        <v>137</v>
      </c>
      <c r="P80" s="7" t="s">
        <v>140</v>
      </c>
      <c r="Q80" s="7">
        <f t="shared" si="21"/>
        <v>2100</v>
      </c>
      <c r="R80" s="7" t="s">
        <v>169</v>
      </c>
      <c r="S80" s="7" t="s">
        <v>284</v>
      </c>
      <c r="T80" s="7" t="s">
        <v>96</v>
      </c>
      <c r="U80" s="7">
        <f>AVERAGE(34.9,32.7)</f>
        <v>33.799999999999997</v>
      </c>
      <c r="V80" s="7">
        <v>1.98</v>
      </c>
      <c r="W80" s="7">
        <f>AVERAGE(1.78,3.22)</f>
        <v>2.5</v>
      </c>
      <c r="X80" s="7" t="s">
        <v>139</v>
      </c>
      <c r="Y80" s="7">
        <f t="shared" ref="Y80:Y91" si="26">U80*25*5/1000</f>
        <v>4.2249999999999988</v>
      </c>
      <c r="Z80" s="10" t="s">
        <v>927</v>
      </c>
      <c r="AA80" s="7" t="s">
        <v>127</v>
      </c>
      <c r="AB80" s="7" t="s">
        <v>86</v>
      </c>
      <c r="AC80" s="7" t="s">
        <v>272</v>
      </c>
    </row>
    <row r="81" spans="1:31" s="7" customFormat="1">
      <c r="A81" s="7" t="s">
        <v>128</v>
      </c>
      <c r="B81" s="7">
        <v>27</v>
      </c>
      <c r="C81" s="7">
        <v>48</v>
      </c>
      <c r="D81" s="7">
        <v>3</v>
      </c>
      <c r="E81" s="19">
        <v>0.32291666666666669</v>
      </c>
      <c r="F81" s="20">
        <v>38529</v>
      </c>
      <c r="G81" s="7">
        <v>327.3</v>
      </c>
      <c r="H81" s="7">
        <v>1.85</v>
      </c>
      <c r="I81" s="7">
        <v>1.97</v>
      </c>
      <c r="J81" s="7" t="s">
        <v>86</v>
      </c>
      <c r="N81" s="7" t="s">
        <v>137</v>
      </c>
      <c r="P81" s="7" t="s">
        <v>140</v>
      </c>
      <c r="Q81" s="7">
        <f t="shared" si="21"/>
        <v>3273</v>
      </c>
      <c r="R81" s="7" t="s">
        <v>169</v>
      </c>
      <c r="S81" s="7" t="s">
        <v>284</v>
      </c>
      <c r="T81" s="7" t="s">
        <v>96</v>
      </c>
      <c r="U81" s="7">
        <f>AVERAGE(44.1,54.2)</f>
        <v>49.150000000000006</v>
      </c>
      <c r="V81" s="7">
        <v>1.99</v>
      </c>
      <c r="W81" s="7">
        <f>AVERAGE(1.86,1.42)</f>
        <v>1.6400000000000001</v>
      </c>
      <c r="X81" s="7" t="s">
        <v>283</v>
      </c>
      <c r="Y81" s="7">
        <f t="shared" si="26"/>
        <v>6.1437500000000007</v>
      </c>
      <c r="Z81" s="10" t="s">
        <v>927</v>
      </c>
      <c r="AA81" s="7" t="s">
        <v>128</v>
      </c>
      <c r="AB81" s="7" t="s">
        <v>86</v>
      </c>
      <c r="AC81" s="7" t="s">
        <v>272</v>
      </c>
    </row>
    <row r="82" spans="1:31" s="7" customFormat="1">
      <c r="A82" s="7" t="s">
        <v>189</v>
      </c>
      <c r="B82" s="7">
        <v>27</v>
      </c>
      <c r="C82" s="7">
        <v>48</v>
      </c>
      <c r="D82" s="7">
        <v>3</v>
      </c>
      <c r="E82" s="19">
        <v>0.32291666666666669</v>
      </c>
      <c r="F82" s="20">
        <v>38529</v>
      </c>
      <c r="G82" s="7">
        <v>200.3</v>
      </c>
      <c r="H82" s="7">
        <v>1.94</v>
      </c>
      <c r="I82" s="7">
        <v>1.65</v>
      </c>
      <c r="J82" s="7" t="s">
        <v>86</v>
      </c>
      <c r="N82" s="7" t="s">
        <v>137</v>
      </c>
      <c r="P82" s="7" t="s">
        <v>140</v>
      </c>
      <c r="Q82" s="7">
        <f t="shared" si="21"/>
        <v>2003</v>
      </c>
      <c r="R82" s="7" t="s">
        <v>169</v>
      </c>
      <c r="S82" s="7" t="s">
        <v>284</v>
      </c>
      <c r="T82" s="7" t="s">
        <v>96</v>
      </c>
      <c r="U82" s="7">
        <f>AVERAGE(32.3,36.3)</f>
        <v>34.299999999999997</v>
      </c>
      <c r="V82" s="7">
        <v>1.95</v>
      </c>
      <c r="W82" s="7">
        <f>AVERAGE(4.05,2.52)</f>
        <v>3.2850000000000001</v>
      </c>
      <c r="X82" s="7" t="s">
        <v>139</v>
      </c>
      <c r="Y82" s="7">
        <f t="shared" si="26"/>
        <v>4.2874999999999988</v>
      </c>
      <c r="Z82" s="10" t="s">
        <v>927</v>
      </c>
      <c r="AA82" s="7" t="s">
        <v>189</v>
      </c>
      <c r="AB82" s="7" t="s">
        <v>86</v>
      </c>
      <c r="AC82" s="7" t="s">
        <v>272</v>
      </c>
      <c r="AE82" s="7">
        <v>2.4</v>
      </c>
    </row>
    <row r="83" spans="1:31" s="6" customFormat="1">
      <c r="A83" s="6" t="s">
        <v>190</v>
      </c>
      <c r="B83" s="6">
        <v>30</v>
      </c>
      <c r="C83" s="6">
        <v>48</v>
      </c>
      <c r="D83" s="6">
        <v>1</v>
      </c>
      <c r="E83" s="21">
        <v>0.32291666666666669</v>
      </c>
      <c r="F83" s="22">
        <v>38529</v>
      </c>
      <c r="G83" s="6">
        <v>177.5</v>
      </c>
      <c r="H83" s="6">
        <v>1.96</v>
      </c>
      <c r="I83" s="6">
        <v>2.3199999999999998</v>
      </c>
      <c r="J83" s="6" t="s">
        <v>86</v>
      </c>
      <c r="M83" s="7"/>
      <c r="N83" s="6" t="s">
        <v>137</v>
      </c>
      <c r="P83" s="6" t="s">
        <v>140</v>
      </c>
      <c r="Q83" s="6">
        <f t="shared" si="21"/>
        <v>1775</v>
      </c>
      <c r="R83" s="6" t="s">
        <v>169</v>
      </c>
      <c r="S83" s="6" t="s">
        <v>284</v>
      </c>
      <c r="T83" s="6" t="s">
        <v>114</v>
      </c>
      <c r="U83" s="6">
        <v>32.9</v>
      </c>
      <c r="V83" s="6">
        <v>1.82</v>
      </c>
      <c r="W83" s="6">
        <f>AVERAGE(2.25,3.68)</f>
        <v>2.9649999999999999</v>
      </c>
      <c r="X83" s="6" t="s">
        <v>139</v>
      </c>
      <c r="Y83" s="6">
        <f t="shared" si="26"/>
        <v>4.1124999999999998</v>
      </c>
      <c r="Z83" s="10" t="s">
        <v>927</v>
      </c>
      <c r="AA83" s="6" t="s">
        <v>190</v>
      </c>
      <c r="AB83" s="6" t="s">
        <v>86</v>
      </c>
      <c r="AC83" s="6" t="s">
        <v>272</v>
      </c>
      <c r="AE83" s="6">
        <f>AVERAGE(Z87:Z88)</f>
        <v>2.4550068381105659</v>
      </c>
    </row>
    <row r="84" spans="1:31" s="6" customFormat="1">
      <c r="A84" s="6" t="s">
        <v>191</v>
      </c>
      <c r="B84" s="6">
        <v>30</v>
      </c>
      <c r="C84" s="6">
        <v>48</v>
      </c>
      <c r="D84" s="6">
        <v>1</v>
      </c>
      <c r="E84" s="21">
        <v>0.32291666666666669</v>
      </c>
      <c r="F84" s="22">
        <v>38529</v>
      </c>
      <c r="G84" s="6">
        <f>AVERAGE(161.2,174.7)</f>
        <v>167.95</v>
      </c>
      <c r="H84" s="6">
        <v>1.98</v>
      </c>
      <c r="I84" s="6">
        <v>2.36</v>
      </c>
      <c r="J84" s="6">
        <v>97.5</v>
      </c>
      <c r="K84" s="6">
        <v>1.92</v>
      </c>
      <c r="L84" s="6">
        <v>0.64</v>
      </c>
      <c r="M84" s="7">
        <f t="shared" si="23"/>
        <v>2.9249999999999998</v>
      </c>
      <c r="N84" s="6" t="s">
        <v>15</v>
      </c>
      <c r="P84" s="6" t="s">
        <v>140</v>
      </c>
      <c r="Q84" s="6">
        <f t="shared" si="21"/>
        <v>1679.5</v>
      </c>
      <c r="R84" s="6" t="s">
        <v>169</v>
      </c>
      <c r="S84" s="6" t="s">
        <v>284</v>
      </c>
      <c r="T84" s="6" t="s">
        <v>114</v>
      </c>
      <c r="U84" s="6">
        <v>57</v>
      </c>
      <c r="V84" s="6">
        <v>1.96</v>
      </c>
      <c r="W84" s="6">
        <f>AVERAGE(1.93,1.65)</f>
        <v>1.79</v>
      </c>
      <c r="X84" s="6" t="s">
        <v>139</v>
      </c>
      <c r="Y84" s="6">
        <f t="shared" si="26"/>
        <v>7.125</v>
      </c>
      <c r="Z84" s="10">
        <f t="shared" si="24"/>
        <v>2.4358974358974361</v>
      </c>
      <c r="AA84" s="6" t="s">
        <v>191</v>
      </c>
      <c r="AB84" s="6">
        <f t="shared" si="25"/>
        <v>2.4358974358974361</v>
      </c>
      <c r="AC84" s="6">
        <f t="shared" ref="AC84:AC90" si="27">LOG(AB84)</f>
        <v>0.38665899826234862</v>
      </c>
      <c r="AE84" s="6">
        <v>1.1000000000000001</v>
      </c>
    </row>
    <row r="85" spans="1:31" s="6" customFormat="1">
      <c r="A85" s="6" t="s">
        <v>192</v>
      </c>
      <c r="B85" s="6">
        <v>30</v>
      </c>
      <c r="C85" s="6">
        <v>48</v>
      </c>
      <c r="D85" s="6">
        <v>1</v>
      </c>
      <c r="E85" s="21">
        <v>0.32291666666666669</v>
      </c>
      <c r="F85" s="22">
        <v>38529</v>
      </c>
      <c r="G85" s="6">
        <f>AVERAGE(395.9,376.5)</f>
        <v>386.2</v>
      </c>
      <c r="H85" s="6">
        <v>1.77</v>
      </c>
      <c r="I85" s="6">
        <v>2.6</v>
      </c>
      <c r="J85" s="6" t="s">
        <v>86</v>
      </c>
      <c r="M85" s="7"/>
      <c r="N85" s="6" t="s">
        <v>137</v>
      </c>
      <c r="P85" s="6" t="s">
        <v>140</v>
      </c>
      <c r="Q85" s="6">
        <f t="shared" si="21"/>
        <v>3862</v>
      </c>
      <c r="R85" s="6" t="s">
        <v>169</v>
      </c>
      <c r="S85" s="6" t="s">
        <v>284</v>
      </c>
      <c r="T85" s="6" t="s">
        <v>114</v>
      </c>
      <c r="U85" s="6">
        <v>43.9</v>
      </c>
      <c r="V85" s="6">
        <v>1.85</v>
      </c>
      <c r="W85" s="6">
        <f>AVERAGE(1.51,2.27)</f>
        <v>1.8900000000000001</v>
      </c>
      <c r="X85" s="6" t="s">
        <v>283</v>
      </c>
      <c r="Y85" s="6">
        <f t="shared" si="26"/>
        <v>5.4874999999999998</v>
      </c>
      <c r="Z85" s="10" t="s">
        <v>927</v>
      </c>
      <c r="AA85" s="6" t="s">
        <v>192</v>
      </c>
      <c r="AB85" s="6" t="s">
        <v>86</v>
      </c>
      <c r="AC85" s="6" t="s">
        <v>272</v>
      </c>
    </row>
    <row r="86" spans="1:31" s="6" customFormat="1">
      <c r="A86" s="6" t="s">
        <v>193</v>
      </c>
      <c r="B86" s="6">
        <v>30</v>
      </c>
      <c r="C86" s="6">
        <v>48</v>
      </c>
      <c r="D86" s="6">
        <v>2</v>
      </c>
      <c r="E86" s="21">
        <v>0.32291666666666669</v>
      </c>
      <c r="F86" s="22">
        <v>38529</v>
      </c>
      <c r="G86" s="6">
        <f>AVERAGE(361.1,353.8)</f>
        <v>357.45000000000005</v>
      </c>
      <c r="H86" s="6">
        <v>1.84</v>
      </c>
      <c r="I86" s="6">
        <v>2.57</v>
      </c>
      <c r="J86" s="6" t="s">
        <v>522</v>
      </c>
      <c r="M86" s="7"/>
      <c r="N86" s="6" t="s">
        <v>137</v>
      </c>
      <c r="P86" s="6" t="s">
        <v>140</v>
      </c>
      <c r="Q86" s="6">
        <f t="shared" si="21"/>
        <v>3574.5000000000005</v>
      </c>
      <c r="R86" s="6" t="s">
        <v>281</v>
      </c>
      <c r="S86" s="6" t="s">
        <v>138</v>
      </c>
      <c r="T86" s="6" t="s">
        <v>95</v>
      </c>
      <c r="U86" s="6">
        <f>AVERAGE(88.7,82.9)</f>
        <v>85.800000000000011</v>
      </c>
      <c r="V86" s="6">
        <v>1.99</v>
      </c>
      <c r="W86" s="6">
        <v>2.87</v>
      </c>
      <c r="Y86" s="6">
        <f t="shared" si="26"/>
        <v>10.725000000000001</v>
      </c>
      <c r="Z86" s="10" t="s">
        <v>927</v>
      </c>
      <c r="AA86" s="6" t="s">
        <v>193</v>
      </c>
      <c r="AB86" s="6" t="s">
        <v>522</v>
      </c>
      <c r="AC86" s="6" t="s">
        <v>272</v>
      </c>
    </row>
    <row r="87" spans="1:31" s="6" customFormat="1">
      <c r="A87" s="6" t="s">
        <v>194</v>
      </c>
      <c r="B87" s="6">
        <v>30</v>
      </c>
      <c r="C87" s="6">
        <v>48</v>
      </c>
      <c r="D87" s="6">
        <v>2</v>
      </c>
      <c r="E87" s="21">
        <v>0.32291666666666669</v>
      </c>
      <c r="F87" s="22">
        <v>38529</v>
      </c>
      <c r="G87" s="6">
        <v>183.5</v>
      </c>
      <c r="H87" s="6">
        <v>1.98</v>
      </c>
      <c r="I87" s="6">
        <v>2.29</v>
      </c>
      <c r="J87" s="6">
        <v>71.5</v>
      </c>
      <c r="K87" s="6">
        <v>1.94</v>
      </c>
      <c r="L87" s="6">
        <v>3.02</v>
      </c>
      <c r="M87" s="7">
        <f t="shared" si="23"/>
        <v>2.145</v>
      </c>
      <c r="N87" s="6" t="s">
        <v>15</v>
      </c>
      <c r="P87" s="6" t="s">
        <v>140</v>
      </c>
      <c r="Q87" s="6">
        <f t="shared" si="21"/>
        <v>1835</v>
      </c>
      <c r="R87" s="6" t="s">
        <v>281</v>
      </c>
      <c r="S87" s="6" t="s">
        <v>138</v>
      </c>
      <c r="T87" s="6" t="s">
        <v>95</v>
      </c>
      <c r="U87" s="6">
        <f>AVERAGE(62.6,60.3)</f>
        <v>61.45</v>
      </c>
      <c r="V87" s="6">
        <v>2.02</v>
      </c>
      <c r="W87" s="6">
        <f>AVERAGE(2.23,3.24)</f>
        <v>2.7350000000000003</v>
      </c>
      <c r="Y87" s="6">
        <f t="shared" si="26"/>
        <v>7.6812500000000004</v>
      </c>
      <c r="Z87" s="10">
        <f t="shared" si="24"/>
        <v>3.5810023310023311</v>
      </c>
      <c r="AA87" s="6" t="s">
        <v>194</v>
      </c>
      <c r="AB87" s="6">
        <f t="shared" si="25"/>
        <v>3.5810023310023311</v>
      </c>
      <c r="AC87" s="6">
        <f t="shared" si="27"/>
        <v>0.55400460370978621</v>
      </c>
    </row>
    <row r="88" spans="1:31" s="6" customFormat="1">
      <c r="A88" s="6" t="s">
        <v>161</v>
      </c>
      <c r="B88" s="6">
        <v>30</v>
      </c>
      <c r="C88" s="6">
        <v>48</v>
      </c>
      <c r="D88" s="6">
        <v>2</v>
      </c>
      <c r="E88" s="21">
        <v>0.32291666666666669</v>
      </c>
      <c r="F88" s="22">
        <v>38529</v>
      </c>
      <c r="G88" s="6">
        <f>AVERAGE(287.5,291.5)</f>
        <v>289.5</v>
      </c>
      <c r="H88" s="6">
        <v>1.92</v>
      </c>
      <c r="I88" s="6">
        <v>2.44</v>
      </c>
      <c r="J88" s="6">
        <v>308.5</v>
      </c>
      <c r="K88" s="6">
        <v>1.72</v>
      </c>
      <c r="L88" s="6">
        <v>2</v>
      </c>
      <c r="M88" s="7">
        <f t="shared" si="23"/>
        <v>9.2550000000000008</v>
      </c>
      <c r="N88" s="6" t="s">
        <v>15</v>
      </c>
      <c r="P88" s="6" t="s">
        <v>140</v>
      </c>
      <c r="Q88" s="6">
        <f t="shared" si="21"/>
        <v>2895</v>
      </c>
      <c r="R88" s="6" t="s">
        <v>281</v>
      </c>
      <c r="S88" s="6" t="s">
        <v>139</v>
      </c>
      <c r="T88" s="6" t="s">
        <v>95</v>
      </c>
      <c r="U88" s="6">
        <v>98.4</v>
      </c>
      <c r="V88" s="6">
        <v>2</v>
      </c>
      <c r="W88" s="6">
        <v>2.8</v>
      </c>
      <c r="Y88" s="6">
        <f t="shared" si="26"/>
        <v>12.3</v>
      </c>
      <c r="Z88" s="10">
        <f t="shared" si="24"/>
        <v>1.3290113452188006</v>
      </c>
      <c r="AA88" s="6" t="s">
        <v>161</v>
      </c>
      <c r="AB88" s="6">
        <f t="shared" si="25"/>
        <v>1.3290113452188006</v>
      </c>
      <c r="AC88" s="6">
        <f t="shared" si="27"/>
        <v>0.12352868835047499</v>
      </c>
    </row>
    <row r="89" spans="1:31" s="6" customFormat="1">
      <c r="A89" s="6" t="s">
        <v>162</v>
      </c>
      <c r="B89" s="6">
        <v>30</v>
      </c>
      <c r="C89" s="6">
        <v>48</v>
      </c>
      <c r="D89" s="6">
        <v>3</v>
      </c>
      <c r="E89" s="21">
        <v>0.32291666666666669</v>
      </c>
      <c r="F89" s="22">
        <v>38529</v>
      </c>
      <c r="G89" s="6">
        <f>AVERAGE(354.6,348.6)</f>
        <v>351.6</v>
      </c>
      <c r="H89" s="6">
        <v>1.92</v>
      </c>
      <c r="I89" s="6">
        <v>2.5</v>
      </c>
      <c r="J89" s="6" t="s">
        <v>522</v>
      </c>
      <c r="M89" s="7"/>
      <c r="N89" s="6" t="s">
        <v>15</v>
      </c>
      <c r="P89" s="6" t="s">
        <v>140</v>
      </c>
      <c r="Q89" s="6">
        <f t="shared" si="21"/>
        <v>3516</v>
      </c>
      <c r="R89" s="6" t="s">
        <v>281</v>
      </c>
      <c r="S89" s="6" t="s">
        <v>139</v>
      </c>
      <c r="T89" s="6" t="s">
        <v>95</v>
      </c>
      <c r="U89" s="6">
        <f>AVERAGE(116.1,132.3)</f>
        <v>124.2</v>
      </c>
      <c r="V89" s="6">
        <v>2.0299999999999998</v>
      </c>
      <c r="W89" s="6">
        <f>AVERAGE(2.42,2.81)</f>
        <v>2.6150000000000002</v>
      </c>
      <c r="Y89" s="6">
        <f t="shared" si="26"/>
        <v>15.525</v>
      </c>
      <c r="Z89" s="10" t="s">
        <v>927</v>
      </c>
      <c r="AA89" s="6" t="s">
        <v>162</v>
      </c>
      <c r="AB89" s="6" t="s">
        <v>535</v>
      </c>
      <c r="AC89" s="6" t="s">
        <v>272</v>
      </c>
    </row>
    <row r="90" spans="1:31" s="6" customFormat="1">
      <c r="A90" s="6" t="s">
        <v>163</v>
      </c>
      <c r="B90" s="6">
        <v>30</v>
      </c>
      <c r="C90" s="6">
        <v>48</v>
      </c>
      <c r="D90" s="6">
        <v>3</v>
      </c>
      <c r="E90" s="21">
        <v>0.32291666666666669</v>
      </c>
      <c r="F90" s="22">
        <v>38529</v>
      </c>
      <c r="G90" s="6">
        <v>186.4</v>
      </c>
      <c r="H90" s="6">
        <v>1.88</v>
      </c>
      <c r="I90" s="6">
        <v>2.66</v>
      </c>
      <c r="J90" s="6">
        <v>175.3</v>
      </c>
      <c r="K90" s="6">
        <v>1.83</v>
      </c>
      <c r="L90" s="6">
        <v>2.33</v>
      </c>
      <c r="M90" s="7">
        <f t="shared" si="23"/>
        <v>5.2590000000000003</v>
      </c>
      <c r="N90" s="6" t="s">
        <v>15</v>
      </c>
      <c r="P90" s="6" t="s">
        <v>140</v>
      </c>
      <c r="Q90" s="6">
        <f t="shared" si="21"/>
        <v>1864</v>
      </c>
      <c r="R90" s="6" t="s">
        <v>281</v>
      </c>
      <c r="S90" s="6" t="s">
        <v>138</v>
      </c>
      <c r="T90" s="6" t="s">
        <v>95</v>
      </c>
      <c r="U90" s="6">
        <v>45.8</v>
      </c>
      <c r="V90" s="6">
        <v>2.0499999999999998</v>
      </c>
      <c r="W90" s="6">
        <v>2.34</v>
      </c>
      <c r="Y90" s="6">
        <f t="shared" si="26"/>
        <v>5.7249999999999996</v>
      </c>
      <c r="Z90" s="10">
        <f t="shared" si="24"/>
        <v>1.0886100019015021</v>
      </c>
      <c r="AA90" s="6" t="s">
        <v>163</v>
      </c>
      <c r="AB90" s="6">
        <f t="shared" si="25"/>
        <v>1.0886100019015021</v>
      </c>
      <c r="AC90" s="6">
        <f t="shared" si="27"/>
        <v>3.6872320198468214E-2</v>
      </c>
    </row>
    <row r="91" spans="1:31" s="6" customFormat="1">
      <c r="A91" s="6" t="s">
        <v>65</v>
      </c>
      <c r="B91" s="6">
        <v>30</v>
      </c>
      <c r="C91" s="6">
        <v>48</v>
      </c>
      <c r="D91" s="6">
        <v>3</v>
      </c>
      <c r="E91" s="21">
        <v>0.32291666666666669</v>
      </c>
      <c r="F91" s="22">
        <v>38529</v>
      </c>
      <c r="G91" s="6">
        <f>AVERAGE(260.1,255.3)</f>
        <v>257.70000000000005</v>
      </c>
      <c r="H91" s="6">
        <v>1.82</v>
      </c>
      <c r="I91" s="6">
        <v>2.57</v>
      </c>
      <c r="J91" s="6" t="s">
        <v>522</v>
      </c>
      <c r="M91" s="7"/>
      <c r="N91" s="6" t="s">
        <v>137</v>
      </c>
      <c r="P91" s="6" t="s">
        <v>140</v>
      </c>
      <c r="Q91" s="6">
        <f t="shared" si="21"/>
        <v>2577.0000000000005</v>
      </c>
      <c r="R91" s="6" t="s">
        <v>281</v>
      </c>
      <c r="S91" s="6" t="s">
        <v>138</v>
      </c>
      <c r="T91" s="6" t="s">
        <v>95</v>
      </c>
      <c r="U91" s="6">
        <f>AVERAGE(43.7,45.8)</f>
        <v>44.75</v>
      </c>
      <c r="V91" s="6">
        <v>2.0699999999999998</v>
      </c>
      <c r="W91" s="6">
        <v>2.2599999999999998</v>
      </c>
      <c r="Y91" s="6">
        <f t="shared" si="26"/>
        <v>5.59375</v>
      </c>
      <c r="Z91" s="10" t="s">
        <v>927</v>
      </c>
      <c r="AA91" s="6" t="s">
        <v>65</v>
      </c>
      <c r="AB91" s="6" t="s">
        <v>535</v>
      </c>
      <c r="AC91" s="6" t="s">
        <v>272</v>
      </c>
    </row>
    <row r="92" spans="1:31">
      <c r="B92" s="6"/>
      <c r="C92" s="6"/>
      <c r="D92" s="6"/>
      <c r="F92" t="s">
        <v>132</v>
      </c>
      <c r="G92">
        <f>AVERAGE(G2:G91)</f>
        <v>216.66277777777785</v>
      </c>
      <c r="H92">
        <f>AVERAGE(H2:H91)</f>
        <v>1.8809222222222217</v>
      </c>
      <c r="I92">
        <f>AVERAGE(I2:I91)</f>
        <v>2.1703888888888883</v>
      </c>
      <c r="T92" t="s">
        <v>257</v>
      </c>
      <c r="U92">
        <f>AVERAGE(U2:U91)</f>
        <v>54.932183908045971</v>
      </c>
      <c r="V92">
        <f>AVERAGE(V2:V91)</f>
        <v>1.7943678160919543</v>
      </c>
      <c r="W92">
        <f>AVERAGE(W2:W91)</f>
        <v>2.0465116279069768</v>
      </c>
      <c r="Y92">
        <f>U92*25*5/1000</f>
        <v>6.8665229885057473</v>
      </c>
      <c r="AD92" s="31"/>
    </row>
    <row r="93" spans="1:31">
      <c r="B93" s="6"/>
      <c r="C93" s="6"/>
      <c r="D93" s="6"/>
      <c r="F93" t="s">
        <v>135</v>
      </c>
      <c r="G93">
        <f>STDEV(G2:G91)</f>
        <v>107.8966980368418</v>
      </c>
      <c r="H93">
        <f>STDEV(H2:H91)</f>
        <v>0.1347295441335046</v>
      </c>
      <c r="I93">
        <f>STDEV(I2:I91)</f>
        <v>0.7028562225221312</v>
      </c>
      <c r="T93" t="s">
        <v>135</v>
      </c>
      <c r="U93">
        <f>STDEV(U2:U91)</f>
        <v>25.038511008987349</v>
      </c>
      <c r="V93">
        <f>STDEV(V2:V91)</f>
        <v>0.14450759334217414</v>
      </c>
      <c r="W93">
        <f>STDEV(W2:W91)</f>
        <v>0.94342369926443292</v>
      </c>
    </row>
    <row r="94" spans="1:31">
      <c r="B94" s="6"/>
      <c r="C94" s="6"/>
      <c r="D94" s="6"/>
      <c r="F94" t="s">
        <v>136</v>
      </c>
      <c r="G94">
        <f>G93/SQRT(90)</f>
        <v>11.373310593594608</v>
      </c>
      <c r="H94">
        <f>H93/SQRT(90)</f>
        <v>1.4201740919268378E-2</v>
      </c>
      <c r="I94">
        <f>I93/SQRT(90)</f>
        <v>7.4087551026402354E-2</v>
      </c>
      <c r="X94" t="s">
        <v>94</v>
      </c>
    </row>
    <row r="95" spans="1:31">
      <c r="B95" s="6"/>
      <c r="C95" s="6"/>
      <c r="D95" s="6"/>
    </row>
    <row r="96" spans="1:31">
      <c r="B96" s="6"/>
      <c r="C96" s="6"/>
      <c r="D96" s="6"/>
    </row>
    <row r="97" spans="2:28">
      <c r="B97" s="6"/>
      <c r="C97" s="6"/>
      <c r="D97" s="6"/>
      <c r="AB97">
        <f>MIN(Z2:Z92)</f>
        <v>1.0191330711242215</v>
      </c>
    </row>
    <row r="98" spans="2:28">
      <c r="AB98">
        <f>MAX(Z2:Z92)</f>
        <v>13.453815261044175</v>
      </c>
    </row>
    <row r="111" spans="2:28">
      <c r="T111">
        <v>27</v>
      </c>
      <c r="U111">
        <v>6</v>
      </c>
      <c r="V111">
        <v>2</v>
      </c>
      <c r="W111">
        <v>0.30103000000000002</v>
      </c>
      <c r="X111">
        <f>AVERAGE(V111:V113)</f>
        <v>3</v>
      </c>
    </row>
    <row r="112" spans="2:28">
      <c r="T112">
        <v>27</v>
      </c>
      <c r="U112">
        <v>6</v>
      </c>
      <c r="V112">
        <v>4.7</v>
      </c>
      <c r="W112">
        <v>0.67209786000000005</v>
      </c>
      <c r="X112">
        <f>AVERAGE(V114:V116)</f>
        <v>4.0999999999999996</v>
      </c>
    </row>
    <row r="113" spans="20:23">
      <c r="T113">
        <v>27</v>
      </c>
      <c r="U113">
        <v>6</v>
      </c>
      <c r="V113">
        <v>2.2999999999999998</v>
      </c>
      <c r="W113">
        <v>0.36172784000000002</v>
      </c>
    </row>
    <row r="114" spans="20:23">
      <c r="T114">
        <v>27</v>
      </c>
      <c r="U114">
        <v>6</v>
      </c>
      <c r="V114">
        <v>3.4</v>
      </c>
      <c r="W114">
        <v>0.53147891999999997</v>
      </c>
    </row>
    <row r="115" spans="20:23">
      <c r="T115">
        <v>27</v>
      </c>
      <c r="U115">
        <v>6</v>
      </c>
      <c r="V115">
        <v>7.8</v>
      </c>
      <c r="W115">
        <v>0.89209459999999996</v>
      </c>
    </row>
    <row r="116" spans="20:23">
      <c r="T116">
        <v>27</v>
      </c>
      <c r="U116">
        <v>6</v>
      </c>
      <c r="V116">
        <v>1.1000000000000001</v>
      </c>
      <c r="W116">
        <v>4.1392690000000003E-2</v>
      </c>
    </row>
    <row r="117" spans="20:23">
      <c r="T117">
        <v>27</v>
      </c>
      <c r="U117">
        <v>6</v>
      </c>
      <c r="V117">
        <v>3.5</v>
      </c>
      <c r="W117">
        <v>0.54406803999999998</v>
      </c>
    </row>
    <row r="118" spans="20:23">
      <c r="T118">
        <v>27</v>
      </c>
      <c r="U118">
        <v>6</v>
      </c>
      <c r="V118">
        <v>1.5</v>
      </c>
      <c r="W118">
        <v>0.17609126</v>
      </c>
    </row>
    <row r="119" spans="20:23">
      <c r="T119">
        <v>30</v>
      </c>
      <c r="U119">
        <v>6</v>
      </c>
      <c r="V119">
        <v>1.9</v>
      </c>
      <c r="W119">
        <v>0.27875359999999999</v>
      </c>
    </row>
    <row r="120" spans="20:23">
      <c r="T120">
        <v>30</v>
      </c>
      <c r="U120">
        <v>6</v>
      </c>
      <c r="V120">
        <v>4.0999999999999996</v>
      </c>
      <c r="W120">
        <v>0.61278385999999996</v>
      </c>
    </row>
    <row r="121" spans="20:23">
      <c r="T121">
        <v>30</v>
      </c>
      <c r="U121">
        <v>6</v>
      </c>
      <c r="V121">
        <v>4.4000000000000004</v>
      </c>
      <c r="W121">
        <v>0.64345268</v>
      </c>
    </row>
    <row r="122" spans="20:23">
      <c r="T122">
        <v>30</v>
      </c>
      <c r="U122">
        <v>6</v>
      </c>
      <c r="V122">
        <v>1.5</v>
      </c>
      <c r="W122">
        <v>0.17609126</v>
      </c>
    </row>
    <row r="123" spans="20:23">
      <c r="T123">
        <v>30</v>
      </c>
      <c r="U123">
        <v>6</v>
      </c>
      <c r="V123">
        <v>2.4</v>
      </c>
      <c r="W123">
        <v>0.38021124000000001</v>
      </c>
    </row>
    <row r="124" spans="20:23">
      <c r="T124">
        <v>30</v>
      </c>
      <c r="U124">
        <v>6</v>
      </c>
      <c r="V124">
        <v>1.5</v>
      </c>
      <c r="W124">
        <v>0.17609126</v>
      </c>
    </row>
    <row r="125" spans="20:23">
      <c r="T125">
        <v>30</v>
      </c>
      <c r="U125">
        <v>6</v>
      </c>
      <c r="V125">
        <v>2</v>
      </c>
      <c r="W125">
        <v>0.30103000000000002</v>
      </c>
    </row>
    <row r="126" spans="20:23">
      <c r="T126">
        <v>30</v>
      </c>
      <c r="U126">
        <v>6</v>
      </c>
      <c r="V126">
        <v>3</v>
      </c>
      <c r="W126">
        <v>0.47712125</v>
      </c>
    </row>
    <row r="127" spans="20:23">
      <c r="T127">
        <v>27</v>
      </c>
      <c r="U127">
        <v>12</v>
      </c>
      <c r="V127">
        <v>4.8</v>
      </c>
      <c r="W127">
        <v>0.68124123999999997</v>
      </c>
    </row>
    <row r="128" spans="20:23">
      <c r="T128">
        <v>27</v>
      </c>
      <c r="U128">
        <v>12</v>
      </c>
      <c r="V128">
        <v>3.7</v>
      </c>
      <c r="W128">
        <v>0.56820172000000002</v>
      </c>
    </row>
    <row r="129" spans="20:23">
      <c r="T129">
        <v>27</v>
      </c>
      <c r="U129">
        <v>12</v>
      </c>
      <c r="V129">
        <v>1.1000000000000001</v>
      </c>
      <c r="W129">
        <v>4.1392690000000003E-2</v>
      </c>
    </row>
    <row r="130" spans="20:23">
      <c r="T130">
        <v>27</v>
      </c>
      <c r="U130">
        <v>12</v>
      </c>
      <c r="V130">
        <v>4.8</v>
      </c>
      <c r="W130">
        <v>0.68124123999999997</v>
      </c>
    </row>
    <row r="131" spans="20:23">
      <c r="T131">
        <v>27</v>
      </c>
      <c r="U131">
        <v>12</v>
      </c>
      <c r="V131">
        <v>7.4</v>
      </c>
      <c r="W131">
        <v>0.86923172000000004</v>
      </c>
    </row>
    <row r="132" spans="20:23">
      <c r="T132">
        <v>27</v>
      </c>
      <c r="U132">
        <v>12</v>
      </c>
      <c r="V132">
        <v>2.4</v>
      </c>
      <c r="W132">
        <v>0.38021124000000001</v>
      </c>
    </row>
    <row r="133" spans="20:23">
      <c r="T133">
        <v>27</v>
      </c>
      <c r="U133">
        <v>12</v>
      </c>
      <c r="V133">
        <v>6</v>
      </c>
      <c r="W133">
        <v>0.77815124999999996</v>
      </c>
    </row>
    <row r="134" spans="20:23">
      <c r="T134">
        <v>27</v>
      </c>
      <c r="U134">
        <v>12</v>
      </c>
      <c r="V134">
        <v>2.7</v>
      </c>
      <c r="W134">
        <v>0.43136375999999998</v>
      </c>
    </row>
    <row r="135" spans="20:23">
      <c r="T135">
        <v>30</v>
      </c>
      <c r="U135">
        <v>12</v>
      </c>
      <c r="V135">
        <v>2.2999999999999998</v>
      </c>
      <c r="W135">
        <v>0.36172784000000002</v>
      </c>
    </row>
    <row r="136" spans="20:23">
      <c r="T136">
        <v>30</v>
      </c>
      <c r="U136">
        <v>12</v>
      </c>
      <c r="V136">
        <v>12</v>
      </c>
      <c r="W136">
        <v>1.07918125</v>
      </c>
    </row>
    <row r="137" spans="20:23">
      <c r="T137">
        <v>30</v>
      </c>
      <c r="U137">
        <v>12</v>
      </c>
      <c r="V137">
        <v>4.0999999999999996</v>
      </c>
      <c r="W137">
        <v>0.61278385999999996</v>
      </c>
    </row>
    <row r="138" spans="20:23">
      <c r="T138">
        <v>30</v>
      </c>
      <c r="U138">
        <v>12</v>
      </c>
      <c r="V138">
        <v>7.1</v>
      </c>
      <c r="W138">
        <v>0.85125835000000005</v>
      </c>
    </row>
    <row r="139" spans="20:23">
      <c r="T139">
        <v>30</v>
      </c>
      <c r="U139">
        <v>12</v>
      </c>
      <c r="V139">
        <v>2.4</v>
      </c>
      <c r="W139">
        <v>0.38021124000000001</v>
      </c>
    </row>
    <row r="140" spans="20:23">
      <c r="T140">
        <v>30</v>
      </c>
      <c r="U140">
        <v>12</v>
      </c>
      <c r="V140">
        <v>1.7</v>
      </c>
      <c r="W140">
        <v>0.23044892</v>
      </c>
    </row>
    <row r="141" spans="20:23">
      <c r="T141">
        <v>30</v>
      </c>
      <c r="U141">
        <v>12</v>
      </c>
      <c r="V141">
        <v>10</v>
      </c>
      <c r="W141">
        <v>1</v>
      </c>
    </row>
    <row r="142" spans="20:23">
      <c r="T142">
        <v>27</v>
      </c>
      <c r="U142">
        <v>24</v>
      </c>
      <c r="V142">
        <v>1.4</v>
      </c>
      <c r="W142">
        <v>0.14612803999999999</v>
      </c>
    </row>
    <row r="143" spans="20:23">
      <c r="T143">
        <v>27</v>
      </c>
      <c r="U143">
        <v>24</v>
      </c>
      <c r="V143">
        <v>6.5</v>
      </c>
      <c r="W143">
        <v>0.81291336000000003</v>
      </c>
    </row>
    <row r="144" spans="20:23">
      <c r="T144">
        <v>30</v>
      </c>
      <c r="U144">
        <v>24</v>
      </c>
      <c r="V144">
        <v>7.4</v>
      </c>
      <c r="W144">
        <v>0.86923172000000004</v>
      </c>
    </row>
    <row r="145" spans="20:23">
      <c r="T145">
        <v>30</v>
      </c>
      <c r="U145">
        <v>24</v>
      </c>
      <c r="V145">
        <v>13.5</v>
      </c>
      <c r="W145">
        <v>1.13033377</v>
      </c>
    </row>
    <row r="146" spans="20:23">
      <c r="T146">
        <v>30</v>
      </c>
      <c r="U146">
        <v>24</v>
      </c>
      <c r="V146">
        <v>2.9</v>
      </c>
      <c r="W146">
        <v>0.46239799999999998</v>
      </c>
    </row>
    <row r="147" spans="20:23">
      <c r="T147">
        <v>30</v>
      </c>
      <c r="U147">
        <v>24</v>
      </c>
      <c r="V147">
        <v>1.3</v>
      </c>
      <c r="W147">
        <v>0.11394335</v>
      </c>
    </row>
    <row r="148" spans="20:23">
      <c r="T148">
        <v>30</v>
      </c>
      <c r="U148">
        <v>24</v>
      </c>
      <c r="V148">
        <v>5.6</v>
      </c>
      <c r="W148">
        <v>0.74818803</v>
      </c>
    </row>
    <row r="149" spans="20:23">
      <c r="T149">
        <v>27</v>
      </c>
      <c r="U149">
        <v>48</v>
      </c>
      <c r="V149">
        <v>6.1</v>
      </c>
      <c r="W149">
        <v>0.78532983999999995</v>
      </c>
    </row>
    <row r="150" spans="20:23">
      <c r="T150">
        <v>27</v>
      </c>
      <c r="U150">
        <v>48</v>
      </c>
      <c r="V150">
        <v>5.2</v>
      </c>
      <c r="W150">
        <v>0.71600333999999999</v>
      </c>
    </row>
    <row r="151" spans="20:23">
      <c r="T151">
        <v>27</v>
      </c>
      <c r="U151">
        <v>48</v>
      </c>
      <c r="V151">
        <v>2.8</v>
      </c>
      <c r="W151">
        <v>0.44715802999999998</v>
      </c>
    </row>
    <row r="152" spans="20:23">
      <c r="T152">
        <v>27</v>
      </c>
      <c r="U152">
        <v>48</v>
      </c>
      <c r="V152">
        <v>3.8</v>
      </c>
      <c r="W152">
        <v>0.57978359999999995</v>
      </c>
    </row>
    <row r="153" spans="20:23">
      <c r="T153">
        <v>27</v>
      </c>
      <c r="U153">
        <v>48</v>
      </c>
      <c r="V153">
        <v>1</v>
      </c>
      <c r="W153">
        <v>0</v>
      </c>
    </row>
    <row r="154" spans="20:23">
      <c r="T154">
        <v>30</v>
      </c>
      <c r="U154">
        <v>48</v>
      </c>
      <c r="V154">
        <v>2.4</v>
      </c>
      <c r="W154">
        <v>0.38021124000000001</v>
      </c>
    </row>
    <row r="155" spans="20:23">
      <c r="T155">
        <v>30</v>
      </c>
      <c r="U155">
        <v>48</v>
      </c>
      <c r="V155">
        <v>3.6</v>
      </c>
      <c r="W155">
        <v>0.55630250000000003</v>
      </c>
    </row>
    <row r="156" spans="20:23">
      <c r="T156">
        <v>30</v>
      </c>
      <c r="U156">
        <v>48</v>
      </c>
      <c r="V156">
        <v>1.3</v>
      </c>
      <c r="W156">
        <v>0.11394335</v>
      </c>
    </row>
    <row r="157" spans="20:23">
      <c r="T157">
        <v>30</v>
      </c>
      <c r="U157">
        <v>48</v>
      </c>
      <c r="V157">
        <v>1.1000000000000001</v>
      </c>
      <c r="W157">
        <v>4.1392690000000003E-2</v>
      </c>
    </row>
  </sheetData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1"/>
  <sheetViews>
    <sheetView workbookViewId="0">
      <selection activeCell="Z7" sqref="Z7:Z11"/>
    </sheetView>
  </sheetViews>
  <sheetFormatPr baseColWidth="10" defaultRowHeight="13" x14ac:dyDescent="0"/>
  <cols>
    <col min="2" max="2" width="4.85546875" bestFit="1" customWidth="1"/>
    <col min="3" max="3" width="8.5703125" bestFit="1" customWidth="1"/>
    <col min="4" max="4" width="4.42578125" bestFit="1" customWidth="1"/>
    <col min="5" max="5" width="8.7109375" bestFit="1" customWidth="1"/>
    <col min="6" max="6" width="6.7109375" bestFit="1" customWidth="1"/>
    <col min="7" max="7" width="6.85546875" bestFit="1" customWidth="1"/>
    <col min="8" max="8" width="7.28515625" customWidth="1"/>
    <col min="9" max="9" width="8" customWidth="1"/>
    <col min="10" max="10" width="13.7109375" customWidth="1"/>
    <col min="11" max="11" width="9" bestFit="1" customWidth="1"/>
    <col min="12" max="12" width="7.85546875" bestFit="1" customWidth="1"/>
    <col min="13" max="13" width="10.28515625" customWidth="1"/>
    <col min="14" max="14" width="10" customWidth="1"/>
    <col min="15" max="15" width="11.5703125" customWidth="1"/>
    <col min="16" max="16" width="13" bestFit="1" customWidth="1"/>
  </cols>
  <sheetData>
    <row r="1" spans="1:31">
      <c r="A1" t="s">
        <v>0</v>
      </c>
      <c r="B1" t="s">
        <v>152</v>
      </c>
      <c r="C1" t="s">
        <v>247</v>
      </c>
      <c r="D1" t="s">
        <v>289</v>
      </c>
      <c r="E1" t="s">
        <v>99</v>
      </c>
      <c r="F1" t="s">
        <v>100</v>
      </c>
      <c r="G1" t="s">
        <v>101</v>
      </c>
      <c r="H1" t="s">
        <v>102</v>
      </c>
      <c r="I1" t="s">
        <v>103</v>
      </c>
      <c r="J1" t="s">
        <v>104</v>
      </c>
      <c r="K1" t="s">
        <v>4</v>
      </c>
      <c r="L1" t="s">
        <v>69</v>
      </c>
      <c r="M1" t="s">
        <v>37</v>
      </c>
      <c r="N1" t="s">
        <v>409</v>
      </c>
      <c r="O1" t="s">
        <v>408</v>
      </c>
      <c r="P1" t="s">
        <v>410</v>
      </c>
      <c r="R1" t="s">
        <v>152</v>
      </c>
      <c r="S1" t="s">
        <v>250</v>
      </c>
      <c r="T1" t="s">
        <v>425</v>
      </c>
      <c r="U1" t="s">
        <v>135</v>
      </c>
      <c r="V1" t="s">
        <v>136</v>
      </c>
      <c r="W1" t="s">
        <v>426</v>
      </c>
      <c r="X1" t="s">
        <v>135</v>
      </c>
      <c r="Y1" t="s">
        <v>136</v>
      </c>
      <c r="Z1" t="s">
        <v>195</v>
      </c>
    </row>
    <row r="2" spans="1:31" s="7" customFormat="1">
      <c r="A2" s="7" t="s">
        <v>266</v>
      </c>
      <c r="B2" s="7">
        <v>27</v>
      </c>
      <c r="C2" s="7">
        <v>0</v>
      </c>
      <c r="D2" s="7">
        <v>1</v>
      </c>
      <c r="E2" s="7">
        <v>16.38</v>
      </c>
      <c r="F2" s="7">
        <v>16.420000000000002</v>
      </c>
      <c r="G2" s="7">
        <v>16.350000000000001</v>
      </c>
      <c r="H2" s="7">
        <f>AVERAGE(E2:G2)</f>
        <v>16.383333333333333</v>
      </c>
      <c r="I2" s="7">
        <f>STDEV(E2:G2)</f>
        <v>3.5118845842842722E-2</v>
      </c>
      <c r="J2" s="7" t="s">
        <v>121</v>
      </c>
      <c r="K2" s="7">
        <v>6.6875</v>
      </c>
      <c r="L2" s="7">
        <v>2.1</v>
      </c>
      <c r="M2" s="7">
        <f>L2^H2</f>
        <v>190119.25861361652</v>
      </c>
      <c r="N2" s="7">
        <f>M2^-1</f>
        <v>5.2598564043021105E-6</v>
      </c>
      <c r="O2" s="7">
        <v>8.4731906048388898E-8</v>
      </c>
      <c r="P2" s="7">
        <f>N2/(N2+O2)</f>
        <v>0.98414622396933837</v>
      </c>
      <c r="R2" s="7">
        <v>27</v>
      </c>
      <c r="S2" s="7">
        <v>0</v>
      </c>
      <c r="T2" s="7">
        <f>AVERAGE(P2:P3)</f>
        <v>0.97673552780429385</v>
      </c>
      <c r="U2" s="7">
        <f>STDEV(P2:P3)</f>
        <v>1.0480307023232256E-2</v>
      </c>
      <c r="V2" s="7">
        <f>U2/SQRT(2)</f>
        <v>7.4106961650445271E-3</v>
      </c>
      <c r="W2" s="7">
        <v>2.3264472195706161E-2</v>
      </c>
      <c r="X2" s="7">
        <v>1.0480307023232296E-2</v>
      </c>
      <c r="Y2" s="7">
        <v>7.4106961650445557E-3</v>
      </c>
      <c r="Z2" s="7">
        <f>T2/W2</f>
        <v>41.983996868175943</v>
      </c>
    </row>
    <row r="3" spans="1:31" s="7" customFormat="1">
      <c r="A3" s="7" t="s">
        <v>267</v>
      </c>
      <c r="B3" s="7">
        <v>27</v>
      </c>
      <c r="C3" s="7">
        <v>0</v>
      </c>
      <c r="D3" s="7">
        <v>2</v>
      </c>
      <c r="E3" s="7">
        <v>17.27</v>
      </c>
      <c r="F3" s="7">
        <v>17.18</v>
      </c>
      <c r="G3" s="7">
        <v>17.190000000000001</v>
      </c>
      <c r="H3" s="7">
        <f t="shared" ref="H3:H64" si="0">AVERAGE(E3:G3)</f>
        <v>17.213333333333335</v>
      </c>
      <c r="I3" s="7">
        <f t="shared" ref="I3:I64" si="1">STDEV(E3:G3)</f>
        <v>4.932882862316202E-2</v>
      </c>
      <c r="J3" s="7" t="s">
        <v>122</v>
      </c>
      <c r="K3" s="7">
        <v>5.2062499999999998</v>
      </c>
      <c r="L3" s="7">
        <v>2.1</v>
      </c>
      <c r="M3" s="7">
        <f t="shared" ref="M3:M64" si="2">L3^H3</f>
        <v>351939.59237251099</v>
      </c>
      <c r="N3" s="7">
        <f t="shared" ref="N3:N64" si="3">M3^-1</f>
        <v>2.8413967103239369E-6</v>
      </c>
      <c r="O3" s="7">
        <v>8.9918590367143527E-8</v>
      </c>
      <c r="P3" s="7">
        <f t="shared" ref="P3:P64" si="4">N3/(N3+O3)</f>
        <v>0.96932483163924932</v>
      </c>
      <c r="R3" s="7">
        <v>27</v>
      </c>
      <c r="S3" s="7">
        <v>6</v>
      </c>
      <c r="T3" s="7">
        <f>AVERAGE(P10:P18)</f>
        <v>0.98529962158254492</v>
      </c>
      <c r="U3" s="7">
        <f>STDEV(P10:P18)</f>
        <v>5.9939373310172938E-3</v>
      </c>
      <c r="V3" s="7">
        <f>U3/3</f>
        <v>1.9979791103390981E-3</v>
      </c>
      <c r="W3" s="7">
        <v>1.4700378417454998E-2</v>
      </c>
      <c r="X3" s="7">
        <v>5.9939373310172739E-3</v>
      </c>
      <c r="Y3" s="7">
        <v>1.9979791103390912E-3</v>
      </c>
      <c r="Z3" s="7">
        <f t="shared" ref="Z3:Z11" si="5">T3/W3</f>
        <v>67.025459726439124</v>
      </c>
    </row>
    <row r="4" spans="1:31" s="6" customFormat="1">
      <c r="A4" s="6" t="s">
        <v>219</v>
      </c>
      <c r="B4" s="6">
        <v>30</v>
      </c>
      <c r="C4" s="6">
        <v>0</v>
      </c>
      <c r="D4" s="6">
        <v>2</v>
      </c>
      <c r="E4" s="6">
        <v>16.510000000000002</v>
      </c>
      <c r="F4" s="6">
        <v>16.47</v>
      </c>
      <c r="G4" s="6">
        <v>16.54</v>
      </c>
      <c r="H4" s="6">
        <f t="shared" si="0"/>
        <v>16.506666666666668</v>
      </c>
      <c r="I4" s="6">
        <f t="shared" si="1"/>
        <v>3.5118845842842722E-2</v>
      </c>
      <c r="J4" s="6" t="s">
        <v>22</v>
      </c>
      <c r="K4" s="6">
        <v>4.4000000000000004</v>
      </c>
      <c r="L4" s="6">
        <v>2.1</v>
      </c>
      <c r="M4" s="6">
        <f t="shared" si="2"/>
        <v>208337.04106406798</v>
      </c>
      <c r="N4" s="6">
        <f t="shared" si="3"/>
        <v>4.7999145754041842E-6</v>
      </c>
      <c r="O4" s="6">
        <v>5.8068818169342801E-8</v>
      </c>
      <c r="P4" s="6">
        <f t="shared" si="4"/>
        <v>0.98804672361660184</v>
      </c>
      <c r="R4" s="7">
        <v>27</v>
      </c>
      <c r="S4" s="7">
        <v>12</v>
      </c>
      <c r="T4" s="7">
        <f>AVERAGE(P27:P35)</f>
        <v>0.9591202771165831</v>
      </c>
      <c r="U4" s="7">
        <f>STDEV(P27:P35)</f>
        <v>2.5066345079236451E-2</v>
      </c>
      <c r="V4" s="7">
        <f>U4/3</f>
        <v>8.3554483597454831E-3</v>
      </c>
      <c r="W4" s="7">
        <v>4.0879722883416868E-2</v>
      </c>
      <c r="X4" s="7">
        <v>2.5066345079236451E-2</v>
      </c>
      <c r="Y4" s="7">
        <v>8.3554483597454831E-3</v>
      </c>
      <c r="Z4" s="7">
        <f t="shared" si="5"/>
        <v>23.462005352919274</v>
      </c>
    </row>
    <row r="5" spans="1:31" s="6" customFormat="1">
      <c r="A5" s="6" t="s">
        <v>220</v>
      </c>
      <c r="B5" s="6">
        <v>30</v>
      </c>
      <c r="C5" s="6">
        <v>0</v>
      </c>
      <c r="D5" s="6">
        <v>2</v>
      </c>
      <c r="E5" s="6">
        <v>17.510000000000002</v>
      </c>
      <c r="F5" s="6">
        <v>17.559999999999999</v>
      </c>
      <c r="G5" s="6">
        <v>17.59</v>
      </c>
      <c r="H5" s="6">
        <f t="shared" si="0"/>
        <v>17.553333333333331</v>
      </c>
      <c r="I5" s="6">
        <f t="shared" si="1"/>
        <v>4.0414518843272795E-2</v>
      </c>
      <c r="J5" s="6" t="s">
        <v>123</v>
      </c>
      <c r="K5" s="6">
        <v>3.8937499999999998</v>
      </c>
      <c r="L5" s="6">
        <v>2.1</v>
      </c>
      <c r="M5" s="6">
        <f t="shared" si="2"/>
        <v>452921.23921573773</v>
      </c>
      <c r="N5" s="6">
        <f t="shared" si="3"/>
        <v>2.2078893931571069E-6</v>
      </c>
      <c r="O5" s="6">
        <v>1.3990079864939394E-7</v>
      </c>
      <c r="P5" s="6">
        <f t="shared" si="4"/>
        <v>0.9404117117715074</v>
      </c>
      <c r="R5" s="7">
        <v>27</v>
      </c>
      <c r="S5" s="7">
        <v>24</v>
      </c>
      <c r="T5" s="7">
        <f>AVERAGE(P44:P52)</f>
        <v>0.96242126346446788</v>
      </c>
      <c r="U5" s="7">
        <f>STDEV(P44:P52)</f>
        <v>1.6110168509501758E-2</v>
      </c>
      <c r="V5" s="7">
        <f>U5/3</f>
        <v>5.3700561698339193E-3</v>
      </c>
      <c r="W5" s="7">
        <v>3.7578736535531995E-2</v>
      </c>
      <c r="X5" s="7">
        <v>1.6110168509501751E-2</v>
      </c>
      <c r="Y5" s="7">
        <v>5.3700561698339167E-3</v>
      </c>
      <c r="Z5" s="7">
        <f t="shared" si="5"/>
        <v>25.610793554872853</v>
      </c>
    </row>
    <row r="6" spans="1:31" s="6" customFormat="1">
      <c r="A6" s="6" t="s">
        <v>221</v>
      </c>
      <c r="B6" s="6">
        <v>30</v>
      </c>
      <c r="C6" s="6">
        <v>0</v>
      </c>
      <c r="D6" s="6">
        <v>2</v>
      </c>
      <c r="E6" s="6" t="s">
        <v>31</v>
      </c>
      <c r="F6" s="6">
        <v>17.97</v>
      </c>
      <c r="G6" s="6">
        <v>17.829999999999998</v>
      </c>
      <c r="H6" s="6">
        <f t="shared" si="0"/>
        <v>17.899999999999999</v>
      </c>
      <c r="I6" s="6">
        <f t="shared" si="1"/>
        <v>9.8994949366117052E-2</v>
      </c>
      <c r="J6" s="6" t="s">
        <v>24</v>
      </c>
      <c r="K6" s="6">
        <v>3.5375000000000001</v>
      </c>
      <c r="L6" s="6">
        <v>2.1</v>
      </c>
      <c r="M6" s="6">
        <f t="shared" si="2"/>
        <v>585767.63970851654</v>
      </c>
      <c r="N6" s="6">
        <f t="shared" si="3"/>
        <v>1.7071615640932459E-6</v>
      </c>
      <c r="O6" s="6">
        <v>1.4106931116297072E-7</v>
      </c>
      <c r="P6" s="6">
        <f t="shared" si="4"/>
        <v>0.92367332834248073</v>
      </c>
      <c r="R6" s="7">
        <v>27</v>
      </c>
      <c r="S6" s="7">
        <v>48</v>
      </c>
      <c r="T6" s="7">
        <f>AVERAGE(P61:P69)</f>
        <v>0.97401991360446594</v>
      </c>
      <c r="U6" s="7">
        <f>STDEV(P61:P69)</f>
        <v>8.3213776193430209E-3</v>
      </c>
      <c r="V6" s="7">
        <f>U6/3</f>
        <v>2.773792539781007E-3</v>
      </c>
      <c r="W6" s="7">
        <v>2.5980086395534074E-2</v>
      </c>
      <c r="X6" s="7">
        <v>8.3213776193430417E-3</v>
      </c>
      <c r="Y6" s="7">
        <v>2.7737925397810139E-3</v>
      </c>
      <c r="Z6" s="7">
        <f t="shared" si="5"/>
        <v>37.491019035714139</v>
      </c>
    </row>
    <row r="7" spans="1:31" s="6" customFormat="1">
      <c r="A7" s="6" t="s">
        <v>222</v>
      </c>
      <c r="B7" s="6">
        <v>30</v>
      </c>
      <c r="C7" s="6">
        <v>0</v>
      </c>
      <c r="D7" s="6">
        <v>3</v>
      </c>
      <c r="E7" s="6">
        <v>16.86</v>
      </c>
      <c r="F7" s="6">
        <v>16.829999999999998</v>
      </c>
      <c r="G7" s="6">
        <v>16.8</v>
      </c>
      <c r="H7" s="6">
        <f t="shared" si="0"/>
        <v>16.829999999999998</v>
      </c>
      <c r="I7" s="6">
        <f t="shared" si="1"/>
        <v>2.9999999999999361E-2</v>
      </c>
      <c r="J7" s="6" t="s">
        <v>74</v>
      </c>
      <c r="K7" s="6">
        <v>3.875</v>
      </c>
      <c r="L7" s="6">
        <v>2.1</v>
      </c>
      <c r="M7" s="6">
        <f t="shared" si="2"/>
        <v>264819.96899002232</v>
      </c>
      <c r="N7" s="6">
        <f t="shared" si="3"/>
        <v>3.7761502798064191E-6</v>
      </c>
      <c r="O7" s="6">
        <v>2.4108557264949663E-7</v>
      </c>
      <c r="P7" s="6">
        <f t="shared" si="4"/>
        <v>0.93998719978013978</v>
      </c>
      <c r="R7" s="6">
        <v>30</v>
      </c>
      <c r="S7" s="6">
        <v>0</v>
      </c>
      <c r="T7" s="6">
        <f>AVERAGE(P4:P9)</f>
        <v>0.95479174260212296</v>
      </c>
      <c r="U7" s="6">
        <f>STDEV(P4:P9)</f>
        <v>2.6129078313915761E-2</v>
      </c>
      <c r="V7" s="6">
        <f>U7/SQRT(6)</f>
        <v>1.0667151553052506E-2</v>
      </c>
      <c r="W7" s="6">
        <v>4.5208257397877059E-2</v>
      </c>
      <c r="X7" s="6">
        <v>2.6129078313915779E-2</v>
      </c>
      <c r="Y7" s="6">
        <v>1.0667151553052513E-2</v>
      </c>
      <c r="Z7" s="6">
        <f t="shared" si="5"/>
        <v>21.119852822439452</v>
      </c>
    </row>
    <row r="8" spans="1:31" s="6" customFormat="1">
      <c r="A8" s="6" t="s">
        <v>223</v>
      </c>
      <c r="B8" s="6">
        <v>30</v>
      </c>
      <c r="C8" s="6">
        <v>0</v>
      </c>
      <c r="D8" s="6">
        <v>3</v>
      </c>
      <c r="E8" s="6">
        <v>16.48</v>
      </c>
      <c r="F8" s="6">
        <v>16.48</v>
      </c>
      <c r="G8" s="6">
        <v>16.489999999999998</v>
      </c>
      <c r="H8" s="6">
        <f t="shared" si="0"/>
        <v>16.483333333333334</v>
      </c>
      <c r="I8" s="6">
        <f t="shared" si="1"/>
        <v>5.7735026918951087E-3</v>
      </c>
      <c r="J8" s="6" t="s">
        <v>124</v>
      </c>
      <c r="K8" s="6">
        <v>10.925000000000001</v>
      </c>
      <c r="L8" s="6">
        <v>2.1</v>
      </c>
      <c r="M8" s="6">
        <f t="shared" si="2"/>
        <v>204761.3770260835</v>
      </c>
      <c r="N8" s="6">
        <f t="shared" si="3"/>
        <v>4.8837335171496486E-6</v>
      </c>
      <c r="O8" s="6">
        <v>7.5060222513455302E-8</v>
      </c>
      <c r="P8" s="6">
        <f t="shared" si="4"/>
        <v>0.98486320939040406</v>
      </c>
      <c r="R8" s="6">
        <v>30</v>
      </c>
      <c r="S8" s="6">
        <v>6</v>
      </c>
      <c r="T8" s="6">
        <f>AVERAGE(P19:P26)</f>
        <v>0.98439817266634178</v>
      </c>
      <c r="U8" s="6">
        <f>STDEV(P19:P26)</f>
        <v>5.9256168402300104E-3</v>
      </c>
      <c r="V8" s="6">
        <f>U8/SQRT(8)</f>
        <v>2.0950219252199214E-3</v>
      </c>
      <c r="W8" s="6">
        <v>1.5601827333658164E-2</v>
      </c>
      <c r="X8" s="6">
        <v>5.9256168402300096E-3</v>
      </c>
      <c r="Y8" s="6">
        <v>2.0950219252199209E-3</v>
      </c>
      <c r="Z8" s="6">
        <f t="shared" si="5"/>
        <v>63.095056214516489</v>
      </c>
    </row>
    <row r="9" spans="1:31" s="6" customFormat="1">
      <c r="A9" s="6" t="s">
        <v>224</v>
      </c>
      <c r="B9" s="6">
        <v>30</v>
      </c>
      <c r="C9" s="6">
        <v>0</v>
      </c>
      <c r="D9" s="6">
        <v>3</v>
      </c>
      <c r="E9" s="6">
        <v>17.97</v>
      </c>
      <c r="F9" s="6">
        <v>18.07</v>
      </c>
      <c r="G9" s="6">
        <v>18.09</v>
      </c>
      <c r="H9" s="6">
        <f t="shared" si="0"/>
        <v>18.043333333333333</v>
      </c>
      <c r="I9" s="6">
        <f t="shared" si="1"/>
        <v>6.4291005073287028E-2</v>
      </c>
      <c r="K9" s="6">
        <v>2.5499999999999998</v>
      </c>
      <c r="L9" s="6">
        <v>2.1</v>
      </c>
      <c r="M9" s="6">
        <f t="shared" si="2"/>
        <v>651493.58135808387</v>
      </c>
      <c r="N9" s="6">
        <f t="shared" si="3"/>
        <v>1.534934539056287E-6</v>
      </c>
      <c r="O9" s="6">
        <v>7.7784193998393793E-8</v>
      </c>
      <c r="P9" s="6">
        <f t="shared" si="4"/>
        <v>0.95176828271160385</v>
      </c>
      <c r="R9" s="6">
        <v>30</v>
      </c>
      <c r="S9" s="6">
        <v>12</v>
      </c>
      <c r="T9" s="6">
        <f>AVERAGE(P36:P43)</f>
        <v>0.96242061450315963</v>
      </c>
      <c r="U9" s="6">
        <f>STDEV(P36:P43)</f>
        <v>1.2187737246554581E-2</v>
      </c>
      <c r="V9" s="6">
        <f>U9/SQRT(8)</f>
        <v>4.3090158271793027E-3</v>
      </c>
      <c r="W9" s="6">
        <v>3.7579385496840374E-2</v>
      </c>
      <c r="X9" s="6">
        <v>1.2187737246554553E-2</v>
      </c>
      <c r="Y9" s="6">
        <v>4.3090158271792923E-3</v>
      </c>
      <c r="Z9" s="6">
        <f t="shared" si="5"/>
        <v>25.610334011025238</v>
      </c>
    </row>
    <row r="10" spans="1:31" s="7" customFormat="1">
      <c r="A10" s="7" t="s">
        <v>225</v>
      </c>
      <c r="B10" s="7">
        <v>27</v>
      </c>
      <c r="C10" s="7">
        <v>6</v>
      </c>
      <c r="D10" s="7">
        <v>1</v>
      </c>
      <c r="E10" s="7">
        <v>17.87</v>
      </c>
      <c r="F10" s="7">
        <v>17.760000000000002</v>
      </c>
      <c r="G10" s="7">
        <v>17.78</v>
      </c>
      <c r="H10" s="7">
        <f t="shared" si="0"/>
        <v>17.803333333333335</v>
      </c>
      <c r="I10" s="7">
        <f t="shared" si="1"/>
        <v>5.8594652770822916E-2</v>
      </c>
      <c r="K10" s="7">
        <v>1.2250000000000001</v>
      </c>
      <c r="L10" s="7">
        <v>2.1</v>
      </c>
      <c r="M10" s="7">
        <f t="shared" si="2"/>
        <v>545227.19626882125</v>
      </c>
      <c r="N10" s="7">
        <f t="shared" si="3"/>
        <v>1.8340977978416093E-6</v>
      </c>
      <c r="O10" s="7">
        <v>3.6881772163160839E-8</v>
      </c>
      <c r="P10" s="7">
        <f t="shared" si="4"/>
        <v>0.98028745329214539</v>
      </c>
      <c r="R10" s="6">
        <v>30</v>
      </c>
      <c r="S10" s="6">
        <v>24</v>
      </c>
      <c r="T10" s="6">
        <f>AVERAGE(P53:P60)</f>
        <v>0.96399510255694576</v>
      </c>
      <c r="U10" s="6">
        <f>STDEV(P53:P60)</f>
        <v>1.9965149890944712E-2</v>
      </c>
      <c r="V10" s="6">
        <f>U10/SQRT(8)</f>
        <v>7.0587464376464324E-3</v>
      </c>
      <c r="W10" s="6">
        <v>3.6004897443054247E-2</v>
      </c>
      <c r="X10" s="6">
        <v>1.9965149890944753E-2</v>
      </c>
      <c r="Y10" s="6">
        <v>7.0587464376464472E-3</v>
      </c>
      <c r="Z10" s="6">
        <f t="shared" si="5"/>
        <v>26.773999400542976</v>
      </c>
    </row>
    <row r="11" spans="1:31" s="7" customFormat="1">
      <c r="A11" s="7" t="s">
        <v>226</v>
      </c>
      <c r="B11" s="7">
        <v>27</v>
      </c>
      <c r="C11" s="7">
        <v>6</v>
      </c>
      <c r="D11" s="7">
        <v>1</v>
      </c>
      <c r="E11" s="7">
        <v>17.82</v>
      </c>
      <c r="F11" s="7">
        <v>17.690000000000001</v>
      </c>
      <c r="G11" s="7">
        <v>17.66</v>
      </c>
      <c r="H11" s="7">
        <f t="shared" si="0"/>
        <v>17.723333333333333</v>
      </c>
      <c r="I11" s="7">
        <f t="shared" si="1"/>
        <v>8.5049005481153683E-2</v>
      </c>
      <c r="J11" s="7" t="s">
        <v>30</v>
      </c>
      <c r="K11" s="7">
        <v>3.1124999999999998</v>
      </c>
      <c r="L11" s="7">
        <v>2.1</v>
      </c>
      <c r="M11" s="7">
        <f t="shared" si="2"/>
        <v>513806.9411915458</v>
      </c>
      <c r="N11" s="7">
        <f t="shared" si="3"/>
        <v>1.9462563072444028E-6</v>
      </c>
      <c r="O11" s="7">
        <v>4.9994318436367942E-8</v>
      </c>
      <c r="P11" s="7">
        <f t="shared" si="4"/>
        <v>0.9749558909120849</v>
      </c>
      <c r="R11" s="6">
        <v>30</v>
      </c>
      <c r="S11" s="6">
        <v>48</v>
      </c>
      <c r="T11" s="6">
        <f>AVERAGE(P70:P78)</f>
        <v>0.96783669653308779</v>
      </c>
      <c r="U11" s="6">
        <f>STDEV(P70:P78)</f>
        <v>1.736077058380749E-2</v>
      </c>
      <c r="V11" s="6">
        <f>U11/3</f>
        <v>5.7869235279358298E-3</v>
      </c>
      <c r="W11" s="6">
        <v>3.2163303466912235E-2</v>
      </c>
      <c r="X11" s="6">
        <v>1.7360770583807496E-2</v>
      </c>
      <c r="Y11" s="6">
        <v>5.7869235279358324E-3</v>
      </c>
      <c r="Z11" s="6">
        <f t="shared" si="5"/>
        <v>30.091333669401923</v>
      </c>
    </row>
    <row r="12" spans="1:31" s="7" customFormat="1">
      <c r="A12" s="7" t="s">
        <v>55</v>
      </c>
      <c r="B12" s="7">
        <v>27</v>
      </c>
      <c r="C12" s="7">
        <v>6</v>
      </c>
      <c r="D12" s="7">
        <v>1</v>
      </c>
      <c r="E12" s="7">
        <v>18.100000000000001</v>
      </c>
      <c r="F12" s="7">
        <v>18.13</v>
      </c>
      <c r="G12" s="7">
        <v>18.190000000000001</v>
      </c>
      <c r="H12" s="7">
        <f t="shared" si="0"/>
        <v>18.14</v>
      </c>
      <c r="I12" s="7">
        <f t="shared" si="1"/>
        <v>4.5825756949558587E-2</v>
      </c>
      <c r="J12" s="7" t="s">
        <v>97</v>
      </c>
      <c r="K12" s="7">
        <v>2.2625000000000002</v>
      </c>
      <c r="L12" s="7">
        <v>2.1</v>
      </c>
      <c r="M12" s="7">
        <f t="shared" si="2"/>
        <v>699935.47652970755</v>
      </c>
      <c r="N12" s="7">
        <f t="shared" si="3"/>
        <v>1.4287031212620021E-6</v>
      </c>
      <c r="O12" s="7">
        <v>3.1452925283115723E-8</v>
      </c>
      <c r="P12" s="7">
        <f t="shared" si="4"/>
        <v>0.97845920279716903</v>
      </c>
    </row>
    <row r="13" spans="1:31" s="7" customFormat="1">
      <c r="A13" s="7" t="s">
        <v>56</v>
      </c>
      <c r="B13" s="7">
        <v>27</v>
      </c>
      <c r="C13" s="7">
        <v>6</v>
      </c>
      <c r="D13" s="7">
        <v>2</v>
      </c>
      <c r="E13" s="7">
        <v>16.48</v>
      </c>
      <c r="F13" s="7">
        <v>16.739999999999998</v>
      </c>
      <c r="G13" s="7">
        <v>16.84</v>
      </c>
      <c r="H13" s="7">
        <f t="shared" si="0"/>
        <v>16.686666666666667</v>
      </c>
      <c r="I13" s="10">
        <f t="shared" si="1"/>
        <v>0.18583146486355087</v>
      </c>
      <c r="K13" s="7">
        <v>10.0625</v>
      </c>
      <c r="L13" s="7">
        <v>2.1</v>
      </c>
      <c r="M13" s="7">
        <f t="shared" si="2"/>
        <v>238103.60166496778</v>
      </c>
      <c r="N13" s="7">
        <f t="shared" si="3"/>
        <v>4.1998524718121897E-6</v>
      </c>
      <c r="O13" s="7">
        <v>5.7382898910708119E-8</v>
      </c>
      <c r="P13" s="7">
        <f t="shared" si="4"/>
        <v>0.98652108847320696</v>
      </c>
      <c r="Z13" s="7" t="s">
        <v>435</v>
      </c>
      <c r="AA13" s="7" t="s">
        <v>135</v>
      </c>
      <c r="AB13" s="7" t="s">
        <v>448</v>
      </c>
      <c r="AC13" s="7" t="s">
        <v>451</v>
      </c>
      <c r="AD13" s="7" t="s">
        <v>452</v>
      </c>
    </row>
    <row r="14" spans="1:31" s="7" customFormat="1">
      <c r="A14" s="7" t="s">
        <v>57</v>
      </c>
      <c r="B14" s="7">
        <v>27</v>
      </c>
      <c r="C14" s="7">
        <v>6</v>
      </c>
      <c r="D14" s="7">
        <v>2</v>
      </c>
      <c r="E14" s="7">
        <v>17.55</v>
      </c>
      <c r="F14" s="7">
        <v>17.52</v>
      </c>
      <c r="G14" s="7">
        <v>17.440000000000001</v>
      </c>
      <c r="H14" s="7">
        <f t="shared" si="0"/>
        <v>17.503333333333334</v>
      </c>
      <c r="I14" s="7">
        <f t="shared" si="1"/>
        <v>5.6862407030772784E-2</v>
      </c>
      <c r="J14" s="7" t="s">
        <v>9</v>
      </c>
      <c r="K14" s="7">
        <v>8.7624999999999993</v>
      </c>
      <c r="L14" s="7">
        <v>2.1</v>
      </c>
      <c r="M14" s="7">
        <f t="shared" si="2"/>
        <v>436427.11188905709</v>
      </c>
      <c r="N14" s="7">
        <f t="shared" si="3"/>
        <v>2.2913333584422389E-6</v>
      </c>
      <c r="O14" s="7">
        <v>2.7796608751445118E-8</v>
      </c>
      <c r="P14" s="7">
        <f t="shared" si="4"/>
        <v>0.98801420828299624</v>
      </c>
      <c r="Y14" s="7">
        <v>0</v>
      </c>
      <c r="Z14" s="7">
        <f>AVERAGE(Z2,Z7)</f>
        <v>31.551924845307695</v>
      </c>
      <c r="AA14" s="7">
        <v>10.43</v>
      </c>
      <c r="AB14" s="7">
        <v>29.805039381455195</v>
      </c>
      <c r="AC14" s="7">
        <v>5.8551569577284184</v>
      </c>
      <c r="AD14" s="7">
        <v>-4.8937807871220542</v>
      </c>
      <c r="AE14" s="7">
        <v>4.9000000000000004</v>
      </c>
    </row>
    <row r="15" spans="1:31" s="7" customFormat="1">
      <c r="A15" s="7" t="s">
        <v>58</v>
      </c>
      <c r="B15" s="7">
        <v>27</v>
      </c>
      <c r="C15" s="7">
        <v>6</v>
      </c>
      <c r="D15" s="7">
        <v>2</v>
      </c>
      <c r="E15" s="7">
        <v>18.91</v>
      </c>
      <c r="F15" s="7">
        <v>18.809999999999999</v>
      </c>
      <c r="G15" s="7">
        <v>18.72</v>
      </c>
      <c r="H15" s="7">
        <f t="shared" si="0"/>
        <v>18.813333333333333</v>
      </c>
      <c r="I15" s="7">
        <f t="shared" si="1"/>
        <v>9.5043849529222332E-2</v>
      </c>
      <c r="J15" s="7">
        <f>AVERAGE(18.07,17.98)</f>
        <v>18.024999999999999</v>
      </c>
      <c r="K15" s="7">
        <v>9</v>
      </c>
      <c r="L15" s="7">
        <v>2.1</v>
      </c>
      <c r="M15" s="7">
        <f t="shared" si="2"/>
        <v>1153503.7168668325</v>
      </c>
      <c r="N15" s="7">
        <f t="shared" si="3"/>
        <v>8.6692395124327641E-7</v>
      </c>
      <c r="O15" s="7">
        <v>7.7396569930439371E-9</v>
      </c>
      <c r="P15" s="7">
        <f t="shared" si="4"/>
        <v>0.99115127585032348</v>
      </c>
      <c r="T15" s="7">
        <f>T8-T7</f>
        <v>2.9606430064218814E-2</v>
      </c>
      <c r="U15" s="7">
        <f>T3-T2</f>
        <v>8.5640937782510695E-3</v>
      </c>
      <c r="Y15" s="7">
        <v>6</v>
      </c>
      <c r="Z15" s="7">
        <f>AVERAGE(Z8,Z3)</f>
        <v>65.060257970477807</v>
      </c>
      <c r="AA15" s="7">
        <f>STDEV(Z3,Z8)</f>
        <v>2.7792149760799161</v>
      </c>
      <c r="AB15" s="7">
        <v>70.088279625673081</v>
      </c>
      <c r="AC15" s="7">
        <v>9.1765006346184492</v>
      </c>
      <c r="AD15" s="7">
        <v>-8.1141351852899177</v>
      </c>
      <c r="AE15" s="7">
        <v>8.1</v>
      </c>
    </row>
    <row r="16" spans="1:31" s="7" customFormat="1">
      <c r="A16" s="7" t="s">
        <v>59</v>
      </c>
      <c r="B16" s="7">
        <v>27</v>
      </c>
      <c r="C16" s="7">
        <v>6</v>
      </c>
      <c r="D16" s="7">
        <v>3</v>
      </c>
      <c r="E16" s="7">
        <v>16.940000000000001</v>
      </c>
      <c r="F16" s="7">
        <v>16.87</v>
      </c>
      <c r="G16" s="7">
        <v>17.010000000000002</v>
      </c>
      <c r="H16" s="7">
        <f t="shared" si="0"/>
        <v>16.940000000000001</v>
      </c>
      <c r="I16" s="7">
        <f t="shared" si="1"/>
        <v>7.0000000000000284E-2</v>
      </c>
      <c r="J16" s="7" t="s">
        <v>238</v>
      </c>
      <c r="K16" s="7">
        <v>4.5999999999999996</v>
      </c>
      <c r="L16" s="7">
        <v>2.1</v>
      </c>
      <c r="M16" s="7">
        <f t="shared" si="2"/>
        <v>287339.18313691288</v>
      </c>
      <c r="N16" s="7">
        <f t="shared" si="3"/>
        <v>3.4802075689186975E-6</v>
      </c>
      <c r="O16" s="7">
        <v>4.3868736024680279E-8</v>
      </c>
      <c r="P16" s="7">
        <f t="shared" si="4"/>
        <v>0.98755170653849245</v>
      </c>
      <c r="T16" s="7">
        <f>T15/T7*100</f>
        <v>3.1008259438368735</v>
      </c>
      <c r="U16" s="7">
        <f>U15/T2*100</f>
        <v>0.87680784966460612</v>
      </c>
      <c r="Y16" s="7">
        <v>12</v>
      </c>
      <c r="Z16" s="7">
        <f>AVERAGE(Z4,Z9)</f>
        <v>24.536169681972254</v>
      </c>
      <c r="AA16" s="7">
        <f>STDEV(Z4,Z9)</f>
        <v>1.5190977623641231</v>
      </c>
      <c r="AB16" s="7">
        <v>27.262080760108475</v>
      </c>
      <c r="AC16" s="7">
        <v>3.5693628482859552</v>
      </c>
      <c r="AD16" s="7">
        <v>-3.156136944739373</v>
      </c>
      <c r="AE16" s="7">
        <v>3.2</v>
      </c>
    </row>
    <row r="17" spans="1:31" s="7" customFormat="1">
      <c r="A17" s="7" t="s">
        <v>182</v>
      </c>
      <c r="B17" s="7">
        <v>27</v>
      </c>
      <c r="C17" s="7">
        <v>6</v>
      </c>
      <c r="D17" s="7">
        <v>3</v>
      </c>
      <c r="E17" s="7">
        <v>17.309999999999999</v>
      </c>
      <c r="F17" s="7">
        <v>17.57</v>
      </c>
      <c r="G17" s="7">
        <v>17.5</v>
      </c>
      <c r="H17" s="7">
        <f t="shared" si="0"/>
        <v>17.459999999999997</v>
      </c>
      <c r="I17" s="7">
        <f t="shared" si="1"/>
        <v>0.13453624047073792</v>
      </c>
      <c r="J17" s="7">
        <f>AVERAGE(21.04,20.96)</f>
        <v>21</v>
      </c>
      <c r="K17" s="7">
        <v>8.7437500000000004</v>
      </c>
      <c r="L17" s="7">
        <v>2.1</v>
      </c>
      <c r="M17" s="7">
        <f t="shared" si="2"/>
        <v>422618.87154440762</v>
      </c>
      <c r="N17" s="7">
        <f t="shared" si="3"/>
        <v>2.3661981689213864E-6</v>
      </c>
      <c r="O17" s="7">
        <v>1.7950862137868117E-8</v>
      </c>
      <c r="P17" s="7">
        <f t="shared" si="4"/>
        <v>0.99247074662530943</v>
      </c>
      <c r="T17" s="7">
        <f>T3-T4</f>
        <v>2.6179344465961818E-2</v>
      </c>
      <c r="U17" s="7">
        <f>T8-T9</f>
        <v>2.1977558163182143E-2</v>
      </c>
      <c r="Y17" s="7">
        <v>24</v>
      </c>
      <c r="Z17" s="7">
        <f>AVERAGE(Z5,Z10)</f>
        <v>26.192396477707916</v>
      </c>
      <c r="AA17" s="7">
        <f>STDEV(Z10,Z5)</f>
        <v>0.82251074138917724</v>
      </c>
      <c r="AB17" s="7">
        <v>28.990152504891487</v>
      </c>
      <c r="AC17" s="7">
        <v>3.6821581661292093</v>
      </c>
      <c r="AD17" s="7">
        <v>-3.267180208282543</v>
      </c>
      <c r="AE17" s="7">
        <v>3.3</v>
      </c>
    </row>
    <row r="18" spans="1:31" s="7" customFormat="1">
      <c r="A18" s="7" t="s">
        <v>183</v>
      </c>
      <c r="B18" s="7">
        <v>27</v>
      </c>
      <c r="C18" s="7">
        <v>6</v>
      </c>
      <c r="D18" s="7">
        <v>3</v>
      </c>
      <c r="E18" s="7">
        <v>17.47</v>
      </c>
      <c r="F18" s="7">
        <v>17.46</v>
      </c>
      <c r="G18" s="7">
        <v>17.399999999999999</v>
      </c>
      <c r="H18" s="7">
        <f t="shared" si="0"/>
        <v>17.443333333333332</v>
      </c>
      <c r="I18" s="7">
        <f t="shared" si="1"/>
        <v>3.7859388972002424E-2</v>
      </c>
      <c r="J18" s="7" t="s">
        <v>129</v>
      </c>
      <c r="K18" s="7">
        <v>6.0125000000000002</v>
      </c>
      <c r="L18" s="7">
        <v>2.1</v>
      </c>
      <c r="M18" s="7">
        <f t="shared" si="2"/>
        <v>417425.10441704531</v>
      </c>
      <c r="N18" s="7">
        <f t="shared" si="3"/>
        <v>2.395639336058978E-6</v>
      </c>
      <c r="O18" s="7">
        <v>2.8397539955585589E-8</v>
      </c>
      <c r="P18" s="7">
        <f t="shared" si="4"/>
        <v>0.98828502147117714</v>
      </c>
      <c r="T18" s="7">
        <f>T17/T3*100</f>
        <v>2.6569932528659361</v>
      </c>
      <c r="U18" s="7">
        <f>U17/T8*100</f>
        <v>2.2325882730616726</v>
      </c>
      <c r="Y18" s="7">
        <v>48</v>
      </c>
      <c r="Z18" s="7">
        <f>AVERAGE(Z6,Z11)</f>
        <v>33.791176352558033</v>
      </c>
      <c r="AA18" s="7">
        <f>STDEV(Z6,Z11)</f>
        <v>5.2323677011661989</v>
      </c>
      <c r="AB18" s="7">
        <v>36.842856962697233</v>
      </c>
      <c r="AC18" s="7">
        <v>4.8237523035949437</v>
      </c>
      <c r="AD18" s="7">
        <v>-4.2653054633990664</v>
      </c>
      <c r="AE18" s="7">
        <v>4.3</v>
      </c>
    </row>
    <row r="19" spans="1:31" s="6" customFormat="1">
      <c r="A19" s="6" t="s">
        <v>184</v>
      </c>
      <c r="B19" s="6">
        <v>30</v>
      </c>
      <c r="C19" s="6">
        <v>6</v>
      </c>
      <c r="D19" s="6">
        <v>1</v>
      </c>
      <c r="E19" s="6">
        <v>17.82</v>
      </c>
      <c r="F19" s="6">
        <v>17.75</v>
      </c>
      <c r="G19" s="6">
        <v>17.79</v>
      </c>
      <c r="H19" s="6">
        <f t="shared" si="0"/>
        <v>17.786666666666665</v>
      </c>
      <c r="I19" s="6">
        <f t="shared" si="1"/>
        <v>3.5118845842842555E-2</v>
      </c>
      <c r="J19" s="6">
        <v>24.25</v>
      </c>
      <c r="K19" s="6">
        <v>8.1062499999999993</v>
      </c>
      <c r="L19" s="6">
        <v>2.1</v>
      </c>
      <c r="M19" s="6">
        <f t="shared" si="2"/>
        <v>538526.6363090236</v>
      </c>
      <c r="N19" s="6">
        <f t="shared" si="3"/>
        <v>1.8569183631358365E-6</v>
      </c>
      <c r="O19" s="6">
        <v>4.4817128420283598E-8</v>
      </c>
      <c r="P19" s="6">
        <f t="shared" si="4"/>
        <v>0.97643356364790168</v>
      </c>
    </row>
    <row r="20" spans="1:31" s="6" customFormat="1">
      <c r="A20" s="6" t="s">
        <v>186</v>
      </c>
      <c r="B20" s="6">
        <v>30</v>
      </c>
      <c r="C20" s="6">
        <v>6</v>
      </c>
      <c r="D20" s="6">
        <v>1</v>
      </c>
      <c r="E20" s="6">
        <v>18.63</v>
      </c>
      <c r="F20" s="6">
        <v>18.41</v>
      </c>
      <c r="G20" s="6">
        <v>18.43</v>
      </c>
      <c r="H20" s="6">
        <f t="shared" si="0"/>
        <v>18.489999999999998</v>
      </c>
      <c r="I20" s="6">
        <f t="shared" si="1"/>
        <v>0.12165525060596384</v>
      </c>
      <c r="J20" s="6">
        <f>J17-J15</f>
        <v>2.9750000000000014</v>
      </c>
      <c r="K20" s="6">
        <v>7.6</v>
      </c>
      <c r="L20" s="6">
        <v>2.1</v>
      </c>
      <c r="M20" s="6">
        <f t="shared" si="2"/>
        <v>907475.18831366673</v>
      </c>
      <c r="N20" s="6">
        <f t="shared" si="3"/>
        <v>1.101958502973805E-6</v>
      </c>
      <c r="O20" s="6">
        <v>7.0044411464879593E-9</v>
      </c>
      <c r="P20" s="6">
        <f t="shared" si="4"/>
        <v>0.99368379152466235</v>
      </c>
    </row>
    <row r="21" spans="1:31" s="6" customFormat="1">
      <c r="A21" s="6" t="s">
        <v>187</v>
      </c>
      <c r="B21" s="6">
        <v>30</v>
      </c>
      <c r="C21" s="6">
        <v>6</v>
      </c>
      <c r="D21" s="6">
        <v>2</v>
      </c>
      <c r="E21" s="6">
        <v>19.95</v>
      </c>
      <c r="F21" s="6">
        <v>20.010000000000002</v>
      </c>
      <c r="G21" s="6">
        <v>20.04</v>
      </c>
      <c r="H21" s="6">
        <f t="shared" si="0"/>
        <v>20</v>
      </c>
      <c r="I21" s="6">
        <f t="shared" si="1"/>
        <v>4.582575694955858E-2</v>
      </c>
      <c r="J21" s="6">
        <f>AVERAGE(J20:J20)</f>
        <v>2.9750000000000014</v>
      </c>
      <c r="K21" s="6">
        <v>5.2249999999999996</v>
      </c>
      <c r="L21" s="6">
        <v>2.1</v>
      </c>
      <c r="M21" s="6">
        <f t="shared" si="2"/>
        <v>2782184.2944695163</v>
      </c>
      <c r="N21" s="6">
        <f t="shared" si="3"/>
        <v>3.5942981993961393E-7</v>
      </c>
      <c r="O21" s="6">
        <v>5.5097429033329267E-9</v>
      </c>
      <c r="P21" s="6">
        <f t="shared" si="4"/>
        <v>0.98490231406972983</v>
      </c>
      <c r="X21" s="6" t="s">
        <v>427</v>
      </c>
    </row>
    <row r="22" spans="1:31" s="6" customFormat="1">
      <c r="A22" s="6" t="s">
        <v>239</v>
      </c>
      <c r="B22" s="6">
        <v>30</v>
      </c>
      <c r="C22" s="6">
        <v>6</v>
      </c>
      <c r="D22" s="6">
        <v>2</v>
      </c>
      <c r="E22" s="6">
        <v>18.13</v>
      </c>
      <c r="F22" s="6">
        <v>18.21</v>
      </c>
      <c r="G22" s="6">
        <v>18.190000000000001</v>
      </c>
      <c r="H22" s="6">
        <f t="shared" si="0"/>
        <v>18.176666666666666</v>
      </c>
      <c r="I22" s="6">
        <f t="shared" si="1"/>
        <v>4.1633319989323764E-2</v>
      </c>
      <c r="J22" s="6" t="s">
        <v>278</v>
      </c>
      <c r="K22" s="6">
        <v>3.0249999999999999</v>
      </c>
      <c r="L22" s="6">
        <v>2.1</v>
      </c>
      <c r="M22" s="6">
        <f t="shared" si="2"/>
        <v>719238.14778106683</v>
      </c>
      <c r="N22" s="6">
        <f t="shared" si="3"/>
        <v>1.3903600679206409E-6</v>
      </c>
      <c r="O22" s="6">
        <v>1.6091950422558691E-8</v>
      </c>
      <c r="P22" s="6">
        <f t="shared" si="4"/>
        <v>0.98855847891525306</v>
      </c>
      <c r="X22" s="6" t="s">
        <v>428</v>
      </c>
    </row>
    <row r="23" spans="1:31" s="6" customFormat="1">
      <c r="A23" s="6" t="s">
        <v>240</v>
      </c>
      <c r="B23" s="6">
        <v>30</v>
      </c>
      <c r="C23" s="6">
        <v>6</v>
      </c>
      <c r="D23" s="6">
        <v>2</v>
      </c>
      <c r="E23" s="6">
        <v>17.45</v>
      </c>
      <c r="F23" s="6">
        <v>17.649999999999999</v>
      </c>
      <c r="G23" s="6">
        <v>17.73</v>
      </c>
      <c r="H23" s="6">
        <f t="shared" si="0"/>
        <v>17.61</v>
      </c>
      <c r="I23" s="6">
        <f t="shared" si="1"/>
        <v>0.14422205101855995</v>
      </c>
      <c r="J23" s="6">
        <v>2.1</v>
      </c>
      <c r="K23" s="6">
        <v>8.4875000000000007</v>
      </c>
      <c r="L23" s="6">
        <v>2.1</v>
      </c>
      <c r="M23" s="6">
        <f t="shared" si="2"/>
        <v>472369.42602325964</v>
      </c>
      <c r="N23" s="6">
        <f t="shared" si="3"/>
        <v>2.1169871395333693E-6</v>
      </c>
      <c r="O23" s="6">
        <v>4.778710722877151E-8</v>
      </c>
      <c r="P23" s="6">
        <f t="shared" si="4"/>
        <v>0.97792513131554171</v>
      </c>
      <c r="X23" s="6" t="s">
        <v>429</v>
      </c>
    </row>
    <row r="24" spans="1:31" s="6" customFormat="1">
      <c r="A24" s="6" t="s">
        <v>241</v>
      </c>
      <c r="B24" s="6">
        <v>30</v>
      </c>
      <c r="C24" s="6">
        <v>6</v>
      </c>
      <c r="D24" s="6">
        <v>3</v>
      </c>
      <c r="E24" s="6">
        <v>18</v>
      </c>
      <c r="F24" s="6">
        <v>18.02</v>
      </c>
      <c r="G24" s="6">
        <v>18</v>
      </c>
      <c r="H24" s="6">
        <f t="shared" si="0"/>
        <v>18.006666666666664</v>
      </c>
      <c r="I24" s="6">
        <f t="shared" si="1"/>
        <v>1.154700538379227E-2</v>
      </c>
      <c r="K24" s="6">
        <v>3.3468749999999998</v>
      </c>
      <c r="L24" s="6">
        <v>2.1</v>
      </c>
      <c r="M24" s="6">
        <f t="shared" si="2"/>
        <v>634009.01597160578</v>
      </c>
      <c r="N24" s="6">
        <f t="shared" si="3"/>
        <v>1.5772646363199118E-6</v>
      </c>
      <c r="O24" s="6">
        <v>2.1504282365039386E-8</v>
      </c>
      <c r="P24" s="6">
        <f t="shared" si="4"/>
        <v>0.98654947434008944</v>
      </c>
      <c r="X24" s="6" t="s">
        <v>430</v>
      </c>
    </row>
    <row r="25" spans="1:31" s="6" customFormat="1">
      <c r="A25" s="6" t="s">
        <v>242</v>
      </c>
      <c r="B25" s="6">
        <v>30</v>
      </c>
      <c r="C25" s="6">
        <v>6</v>
      </c>
      <c r="D25" s="6">
        <v>3</v>
      </c>
      <c r="E25" s="6">
        <v>17.96</v>
      </c>
      <c r="F25" s="6">
        <v>18.02</v>
      </c>
      <c r="G25" s="6">
        <v>18.079999999999998</v>
      </c>
      <c r="H25" s="6">
        <f t="shared" si="0"/>
        <v>18.02</v>
      </c>
      <c r="I25" s="6">
        <f t="shared" si="1"/>
        <v>5.9999999999998721E-2</v>
      </c>
      <c r="J25" s="6" t="s">
        <v>230</v>
      </c>
      <c r="K25" s="6">
        <v>8.0124999999999993</v>
      </c>
      <c r="L25" s="6">
        <v>2.1</v>
      </c>
      <c r="M25" s="6">
        <f t="shared" si="2"/>
        <v>640312.07394134137</v>
      </c>
      <c r="N25" s="6">
        <f t="shared" si="3"/>
        <v>1.5617384720619986E-6</v>
      </c>
      <c r="O25" s="6">
        <v>3.2439813633353409E-8</v>
      </c>
      <c r="P25" s="6">
        <f t="shared" si="4"/>
        <v>0.97965107546349262</v>
      </c>
    </row>
    <row r="26" spans="1:31" s="6" customFormat="1">
      <c r="A26" s="6" t="s">
        <v>196</v>
      </c>
      <c r="B26" s="6">
        <v>30</v>
      </c>
      <c r="C26" s="6">
        <v>6</v>
      </c>
      <c r="D26" s="6">
        <v>3</v>
      </c>
      <c r="E26" s="6">
        <v>18.64</v>
      </c>
      <c r="F26" s="12">
        <v>19.260000000000002</v>
      </c>
      <c r="G26" s="6">
        <v>18.829999999999998</v>
      </c>
      <c r="H26" s="6">
        <f>AVERAGE(E26,G26)</f>
        <v>18.734999999999999</v>
      </c>
      <c r="I26" s="6">
        <f>STDEV(E26,G26)</f>
        <v>0.13435028842544242</v>
      </c>
      <c r="J26" s="6" t="s">
        <v>231</v>
      </c>
      <c r="K26" s="6">
        <v>6.7750000000000004</v>
      </c>
      <c r="L26" s="6">
        <v>2.1</v>
      </c>
      <c r="M26" s="6">
        <f t="shared" si="2"/>
        <v>1088374.8230019067</v>
      </c>
      <c r="N26" s="6">
        <f t="shared" si="3"/>
        <v>9.1880111416198024E-7</v>
      </c>
      <c r="O26" s="6">
        <v>1.1647775997819305E-8</v>
      </c>
      <c r="P26" s="6">
        <f t="shared" si="4"/>
        <v>0.98748155205406407</v>
      </c>
    </row>
    <row r="27" spans="1:31" s="7" customFormat="1">
      <c r="A27" s="7" t="s">
        <v>197</v>
      </c>
      <c r="B27" s="7">
        <v>27</v>
      </c>
      <c r="C27" s="7">
        <v>12</v>
      </c>
      <c r="D27" s="7">
        <v>1</v>
      </c>
      <c r="E27" s="7">
        <v>18.88</v>
      </c>
      <c r="F27" s="7">
        <v>19.010000000000002</v>
      </c>
      <c r="G27" s="10">
        <v>23.63</v>
      </c>
      <c r="H27" s="7">
        <f>AVERAGE(E27:F27)</f>
        <v>18.945</v>
      </c>
      <c r="I27" s="7">
        <f>STDEV(E27:F27)</f>
        <v>9.192388155425299E-2</v>
      </c>
      <c r="J27" s="7" t="s">
        <v>232</v>
      </c>
      <c r="K27" s="7">
        <v>6.2125000000000004</v>
      </c>
      <c r="L27" s="7">
        <v>2.1</v>
      </c>
      <c r="M27" s="7">
        <f t="shared" si="2"/>
        <v>1271875.3157874681</v>
      </c>
      <c r="N27" s="7">
        <f t="shared" si="3"/>
        <v>7.8624059102905117E-7</v>
      </c>
      <c r="O27" s="7">
        <v>1.6439840168061996E-8</v>
      </c>
      <c r="P27" s="7">
        <f t="shared" si="4"/>
        <v>0.97951882277291391</v>
      </c>
    </row>
    <row r="28" spans="1:31" s="7" customFormat="1">
      <c r="A28" s="7" t="s">
        <v>198</v>
      </c>
      <c r="B28" s="7">
        <v>27</v>
      </c>
      <c r="C28" s="7">
        <v>12</v>
      </c>
      <c r="D28" s="7">
        <v>1</v>
      </c>
      <c r="E28" s="7">
        <v>17.559999999999999</v>
      </c>
      <c r="F28" s="7">
        <v>17.47</v>
      </c>
      <c r="G28" s="7">
        <v>17.64</v>
      </c>
      <c r="H28" s="7">
        <f t="shared" si="0"/>
        <v>17.556666666666668</v>
      </c>
      <c r="I28" s="7">
        <f t="shared" si="1"/>
        <v>8.5049005481154655E-2</v>
      </c>
      <c r="J28" s="7">
        <f>AVERAGE(H2:H28)</f>
        <v>17.731604938271605</v>
      </c>
      <c r="K28" s="7">
        <v>8.5437499999999993</v>
      </c>
      <c r="L28" s="7">
        <v>2.1</v>
      </c>
      <c r="M28" s="7">
        <f t="shared" si="2"/>
        <v>454042.75607482519</v>
      </c>
      <c r="N28" s="7">
        <f t="shared" si="3"/>
        <v>2.2024357543878583E-6</v>
      </c>
      <c r="O28" s="7">
        <v>3.3062459317409403E-8</v>
      </c>
      <c r="P28" s="7">
        <f t="shared" si="4"/>
        <v>0.98521025017389319</v>
      </c>
    </row>
    <row r="29" spans="1:31" s="7" customFormat="1">
      <c r="A29" s="7" t="s">
        <v>199</v>
      </c>
      <c r="B29" s="7">
        <v>27</v>
      </c>
      <c r="C29" s="7">
        <v>12</v>
      </c>
      <c r="D29" s="7">
        <v>1</v>
      </c>
      <c r="E29" s="7">
        <v>18.78</v>
      </c>
      <c r="F29" s="7">
        <v>18.7</v>
      </c>
      <c r="G29" s="7">
        <v>18.649999999999999</v>
      </c>
      <c r="H29" s="7">
        <f t="shared" si="0"/>
        <v>18.71</v>
      </c>
      <c r="I29" s="7">
        <f t="shared" si="1"/>
        <v>6.557438524302131E-2</v>
      </c>
      <c r="J29" s="7" t="s">
        <v>151</v>
      </c>
      <c r="K29" s="7">
        <v>6.1624999999999996</v>
      </c>
      <c r="L29" s="7">
        <v>2.12</v>
      </c>
      <c r="M29" s="7">
        <f t="shared" si="2"/>
        <v>1275686.4951920828</v>
      </c>
      <c r="N29" s="7">
        <f t="shared" si="3"/>
        <v>7.8389165658560008E-7</v>
      </c>
      <c r="O29" s="7">
        <v>5.1798397610644583E-8</v>
      </c>
      <c r="P29" s="7">
        <f t="shared" si="4"/>
        <v>0.9380172142165033</v>
      </c>
    </row>
    <row r="30" spans="1:31" s="7" customFormat="1">
      <c r="A30" s="7" t="s">
        <v>200</v>
      </c>
      <c r="B30" s="7">
        <v>27</v>
      </c>
      <c r="C30" s="7">
        <v>12</v>
      </c>
      <c r="D30" s="7">
        <v>2</v>
      </c>
      <c r="E30" s="7">
        <v>18.54</v>
      </c>
      <c r="F30" s="7">
        <v>18.52</v>
      </c>
      <c r="G30" s="7">
        <v>18.440000000000001</v>
      </c>
      <c r="H30" s="7">
        <f t="shared" si="0"/>
        <v>18.5</v>
      </c>
      <c r="I30" s="7">
        <f t="shared" si="1"/>
        <v>5.2915026221290684E-2</v>
      </c>
      <c r="J30" s="7">
        <f>AVERAGE(H56:H78)</f>
        <v>18.466159420289852</v>
      </c>
      <c r="K30" s="7">
        <v>7.125</v>
      </c>
      <c r="L30" s="7">
        <v>2.12</v>
      </c>
      <c r="M30" s="7">
        <f t="shared" si="2"/>
        <v>1089465.3623884185</v>
      </c>
      <c r="N30" s="7">
        <f t="shared" si="3"/>
        <v>9.1788140726908017E-7</v>
      </c>
      <c r="O30" s="7">
        <v>2.612808972264321E-8</v>
      </c>
      <c r="P30" s="7">
        <f t="shared" si="4"/>
        <v>0.97232221730193857</v>
      </c>
    </row>
    <row r="31" spans="1:31" s="7" customFormat="1">
      <c r="A31" s="7" t="s">
        <v>201</v>
      </c>
      <c r="B31" s="7">
        <v>27</v>
      </c>
      <c r="C31" s="7">
        <v>12</v>
      </c>
      <c r="D31" s="7">
        <v>2</v>
      </c>
      <c r="E31" s="7">
        <v>18.2</v>
      </c>
      <c r="F31" s="7">
        <v>18.14</v>
      </c>
      <c r="G31" s="7">
        <v>18.12</v>
      </c>
      <c r="H31" s="7">
        <f t="shared" si="0"/>
        <v>18.153333333333336</v>
      </c>
      <c r="I31" s="7">
        <f t="shared" si="1"/>
        <v>4.1633319989321765E-2</v>
      </c>
      <c r="J31" s="7" t="s">
        <v>233</v>
      </c>
      <c r="K31" s="7">
        <v>11.18125</v>
      </c>
      <c r="L31" s="7">
        <v>2.12</v>
      </c>
      <c r="M31" s="7">
        <f t="shared" si="2"/>
        <v>839621.71483895381</v>
      </c>
      <c r="N31" s="7">
        <f t="shared" si="3"/>
        <v>1.1910125504457779E-6</v>
      </c>
      <c r="O31" s="7">
        <v>4.2542003751880961E-8</v>
      </c>
      <c r="P31" s="7">
        <f t="shared" si="4"/>
        <v>0.96551266937719549</v>
      </c>
    </row>
    <row r="32" spans="1:31" s="7" customFormat="1">
      <c r="A32" s="7" t="s">
        <v>202</v>
      </c>
      <c r="B32" s="7">
        <v>27</v>
      </c>
      <c r="C32" s="7">
        <v>12</v>
      </c>
      <c r="D32" s="7">
        <v>2</v>
      </c>
      <c r="E32" s="7">
        <v>18.489999999999998</v>
      </c>
      <c r="F32" s="7">
        <v>18.52</v>
      </c>
      <c r="G32" s="7">
        <v>18.59</v>
      </c>
      <c r="H32" s="7">
        <f t="shared" si="0"/>
        <v>18.533333333333331</v>
      </c>
      <c r="I32" s="7">
        <f t="shared" si="1"/>
        <v>5.1316014394469478E-2</v>
      </c>
      <c r="J32" s="7" t="s">
        <v>75</v>
      </c>
      <c r="K32" s="7">
        <v>4.8250000000000002</v>
      </c>
      <c r="L32" s="7">
        <v>2.12</v>
      </c>
      <c r="M32" s="7">
        <f t="shared" si="2"/>
        <v>1117098.0384296775</v>
      </c>
      <c r="N32" s="7">
        <f t="shared" si="3"/>
        <v>8.9517657859798586E-7</v>
      </c>
      <c r="O32" s="7">
        <v>1.7665613716720621E-8</v>
      </c>
      <c r="P32" s="7">
        <f t="shared" si="4"/>
        <v>0.98064768054604745</v>
      </c>
    </row>
    <row r="33" spans="1:16" s="7" customFormat="1">
      <c r="A33" s="7" t="s">
        <v>203</v>
      </c>
      <c r="B33" s="7">
        <v>27</v>
      </c>
      <c r="C33" s="7">
        <v>12</v>
      </c>
      <c r="D33" s="7">
        <v>3</v>
      </c>
      <c r="E33" s="7">
        <v>20.32</v>
      </c>
      <c r="F33" s="7">
        <v>20.190000000000001</v>
      </c>
      <c r="G33" s="7">
        <v>20.21</v>
      </c>
      <c r="H33" s="7">
        <f t="shared" si="0"/>
        <v>20.240000000000002</v>
      </c>
      <c r="I33" s="7">
        <f t="shared" si="1"/>
        <v>6.9999999999999521E-2</v>
      </c>
      <c r="J33" s="7">
        <f>AVERAGE(H29:H55)</f>
        <v>19.459197530864191</v>
      </c>
      <c r="K33" s="7">
        <v>7.3312499999999998</v>
      </c>
      <c r="L33" s="7">
        <v>2.12</v>
      </c>
      <c r="M33" s="7">
        <f t="shared" si="2"/>
        <v>4027521.107898064</v>
      </c>
      <c r="N33" s="7">
        <f t="shared" si="3"/>
        <v>2.4829168444057966E-7</v>
      </c>
      <c r="O33" s="7">
        <v>1.7236196310788322E-8</v>
      </c>
      <c r="P33" s="7">
        <f t="shared" si="4"/>
        <v>0.93508705653803725</v>
      </c>
    </row>
    <row r="34" spans="1:16" s="7" customFormat="1">
      <c r="A34" s="7" t="s">
        <v>204</v>
      </c>
      <c r="B34" s="7">
        <v>27</v>
      </c>
      <c r="C34" s="7">
        <v>12</v>
      </c>
      <c r="D34" s="7">
        <v>3</v>
      </c>
      <c r="E34" s="7">
        <v>18.04</v>
      </c>
      <c r="F34" s="7">
        <v>18.03</v>
      </c>
      <c r="G34" s="7">
        <v>18</v>
      </c>
      <c r="H34" s="7">
        <f t="shared" si="0"/>
        <v>18.023333333333333</v>
      </c>
      <c r="I34" s="7">
        <f t="shared" si="1"/>
        <v>2.0816659994661167E-2</v>
      </c>
      <c r="J34" s="7" t="s">
        <v>234</v>
      </c>
      <c r="K34" s="7">
        <v>5.84375</v>
      </c>
      <c r="L34" s="7">
        <v>2.12</v>
      </c>
      <c r="M34" s="7">
        <f t="shared" si="2"/>
        <v>761482.62814626016</v>
      </c>
      <c r="N34" s="7">
        <f t="shared" si="3"/>
        <v>1.3132275944815475E-6</v>
      </c>
      <c r="O34" s="7">
        <v>1.2650641952639174E-7</v>
      </c>
      <c r="P34" s="7">
        <f t="shared" si="4"/>
        <v>0.91213208947240021</v>
      </c>
    </row>
    <row r="35" spans="1:16" s="7" customFormat="1">
      <c r="A35" s="7" t="s">
        <v>205</v>
      </c>
      <c r="B35" s="7">
        <v>27</v>
      </c>
      <c r="C35" s="7">
        <v>12</v>
      </c>
      <c r="D35" s="7">
        <v>3</v>
      </c>
      <c r="E35" s="7">
        <v>18.059999999999999</v>
      </c>
      <c r="F35" s="7">
        <v>18.02</v>
      </c>
      <c r="G35" s="7">
        <v>18.010000000000002</v>
      </c>
      <c r="H35" s="7">
        <f t="shared" si="0"/>
        <v>18.03</v>
      </c>
      <c r="I35" s="7">
        <f t="shared" si="1"/>
        <v>2.6457513110644669E-2</v>
      </c>
      <c r="J35" s="7" t="s">
        <v>45</v>
      </c>
      <c r="K35" s="7">
        <v>6.9562499999999998</v>
      </c>
      <c r="L35" s="7">
        <v>2.12</v>
      </c>
      <c r="M35" s="7">
        <f t="shared" si="2"/>
        <v>765306.80061847891</v>
      </c>
      <c r="N35" s="7">
        <f t="shared" si="3"/>
        <v>1.30666550877616E-6</v>
      </c>
      <c r="O35" s="7">
        <v>4.9310763748512889E-8</v>
      </c>
      <c r="P35" s="7">
        <f t="shared" si="4"/>
        <v>0.96363449365031884</v>
      </c>
    </row>
    <row r="36" spans="1:16" s="6" customFormat="1">
      <c r="A36" s="6" t="s">
        <v>206</v>
      </c>
      <c r="B36" s="6">
        <v>30</v>
      </c>
      <c r="C36" s="6">
        <v>12</v>
      </c>
      <c r="D36" s="6">
        <v>1</v>
      </c>
      <c r="E36" s="6">
        <v>20.8</v>
      </c>
      <c r="F36" s="6">
        <v>20.79</v>
      </c>
      <c r="G36" s="6">
        <v>20.84</v>
      </c>
      <c r="H36" s="6">
        <f t="shared" si="0"/>
        <v>20.810000000000002</v>
      </c>
      <c r="I36" s="6">
        <f t="shared" si="1"/>
        <v>2.6457513110646015E-2</v>
      </c>
      <c r="K36" s="6">
        <v>12.81875</v>
      </c>
      <c r="L36" s="6">
        <v>2.12</v>
      </c>
      <c r="M36" s="6">
        <f t="shared" si="2"/>
        <v>6180865.1127114315</v>
      </c>
      <c r="N36" s="6">
        <f t="shared" si="3"/>
        <v>1.6178964946887807E-7</v>
      </c>
      <c r="O36" s="6">
        <v>8.1325058706610936E-9</v>
      </c>
      <c r="P36" s="6">
        <f t="shared" si="4"/>
        <v>0.9521398145261829</v>
      </c>
    </row>
    <row r="37" spans="1:16" s="6" customFormat="1">
      <c r="A37" s="6" t="s">
        <v>207</v>
      </c>
      <c r="B37" s="6">
        <v>30</v>
      </c>
      <c r="C37" s="6">
        <v>12</v>
      </c>
      <c r="D37" s="6">
        <v>1</v>
      </c>
      <c r="E37" s="6">
        <v>18.71</v>
      </c>
      <c r="F37" s="6">
        <v>18.59</v>
      </c>
      <c r="G37" s="6">
        <v>18.53</v>
      </c>
      <c r="H37" s="6">
        <f t="shared" si="0"/>
        <v>18.61</v>
      </c>
      <c r="I37" s="6">
        <f t="shared" si="1"/>
        <v>9.1651513899116785E-2</v>
      </c>
      <c r="J37" s="6" t="s">
        <v>9</v>
      </c>
      <c r="K37" s="6">
        <v>7.3</v>
      </c>
      <c r="L37" s="6">
        <v>2.12</v>
      </c>
      <c r="M37" s="6">
        <f t="shared" si="2"/>
        <v>1183342.2528890194</v>
      </c>
      <c r="N37" s="6">
        <f t="shared" si="3"/>
        <v>8.4506405273587883E-7</v>
      </c>
      <c r="O37" s="6">
        <v>3.8553938462491413E-8</v>
      </c>
      <c r="P37" s="6">
        <f t="shared" si="4"/>
        <v>0.95636809249412824</v>
      </c>
    </row>
    <row r="38" spans="1:16" s="6" customFormat="1">
      <c r="A38" s="6" t="s">
        <v>208</v>
      </c>
      <c r="B38" s="6">
        <v>30</v>
      </c>
      <c r="C38" s="6">
        <v>12</v>
      </c>
      <c r="D38" s="6">
        <v>1</v>
      </c>
      <c r="E38" s="6">
        <v>19.03</v>
      </c>
      <c r="F38" s="12">
        <v>20.079999999999998</v>
      </c>
      <c r="G38" s="6">
        <v>19.079999999999998</v>
      </c>
      <c r="H38" s="6">
        <f>AVERAGE(E38,G38)</f>
        <v>19.055</v>
      </c>
      <c r="I38" s="6">
        <f>STDEV(E38,G38)</f>
        <v>3.5355339059325371E-2</v>
      </c>
      <c r="J38" s="6">
        <f>AVERAGE(18.86,18.68)</f>
        <v>18.77</v>
      </c>
      <c r="K38" s="6">
        <v>12.737500000000001</v>
      </c>
      <c r="L38" s="6">
        <v>2.12</v>
      </c>
      <c r="M38" s="6">
        <f t="shared" si="2"/>
        <v>1653216.8763690137</v>
      </c>
      <c r="N38" s="6">
        <f t="shared" si="3"/>
        <v>6.0488131611402113E-7</v>
      </c>
      <c r="O38" s="6">
        <v>2.2071067048048746E-8</v>
      </c>
      <c r="P38" s="6">
        <f t="shared" si="4"/>
        <v>0.96479626261769347</v>
      </c>
    </row>
    <row r="39" spans="1:16" s="6" customFormat="1">
      <c r="A39" s="6" t="s">
        <v>209</v>
      </c>
      <c r="B39" s="6">
        <v>30</v>
      </c>
      <c r="C39" s="6">
        <v>12</v>
      </c>
      <c r="D39" s="6">
        <v>2</v>
      </c>
      <c r="E39" s="6">
        <v>19.16</v>
      </c>
      <c r="F39" s="6">
        <v>19.13</v>
      </c>
      <c r="G39" s="6">
        <v>19.16</v>
      </c>
      <c r="H39" s="6">
        <f t="shared" si="0"/>
        <v>19.150000000000002</v>
      </c>
      <c r="I39" s="6">
        <f t="shared" si="1"/>
        <v>1.7320508075689432E-2</v>
      </c>
      <c r="J39" s="6" t="s">
        <v>238</v>
      </c>
      <c r="K39" s="6">
        <v>3.7062499999999998</v>
      </c>
      <c r="L39" s="6">
        <v>2.12</v>
      </c>
      <c r="M39" s="6">
        <f t="shared" si="2"/>
        <v>1775545.2171132006</v>
      </c>
      <c r="N39" s="6">
        <f t="shared" si="3"/>
        <v>5.6320728436635733E-7</v>
      </c>
      <c r="O39" s="6">
        <v>1.7216010262511303E-8</v>
      </c>
      <c r="P39" s="6">
        <f t="shared" si="4"/>
        <v>0.97033887092088644</v>
      </c>
    </row>
    <row r="40" spans="1:16" s="6" customFormat="1">
      <c r="A40" s="6" t="s">
        <v>210</v>
      </c>
      <c r="B40" s="6">
        <v>30</v>
      </c>
      <c r="C40" s="6">
        <v>12</v>
      </c>
      <c r="D40" s="6">
        <v>2</v>
      </c>
      <c r="E40" s="6">
        <v>18.55</v>
      </c>
      <c r="F40" s="6">
        <v>18.57</v>
      </c>
      <c r="G40" s="6">
        <v>18.63</v>
      </c>
      <c r="H40" s="6">
        <f t="shared" si="0"/>
        <v>18.583333333333332</v>
      </c>
      <c r="I40" s="6">
        <f t="shared" si="1"/>
        <v>4.1633319989321765E-2</v>
      </c>
      <c r="J40" s="6">
        <f>AVERAGE(20.8,21.1)</f>
        <v>20.950000000000003</v>
      </c>
      <c r="K40" s="6">
        <v>12.112500000000001</v>
      </c>
      <c r="L40" s="6">
        <v>2.12</v>
      </c>
      <c r="M40" s="6">
        <f t="shared" si="2"/>
        <v>1159866.7062128487</v>
      </c>
      <c r="N40" s="6">
        <f t="shared" si="3"/>
        <v>8.6216803589884983E-7</v>
      </c>
      <c r="O40" s="6">
        <v>2.1159346372900424E-8</v>
      </c>
      <c r="P40" s="6">
        <f t="shared" si="4"/>
        <v>0.97604586159382645</v>
      </c>
    </row>
    <row r="41" spans="1:16" s="6" customFormat="1">
      <c r="A41" s="6" t="s">
        <v>211</v>
      </c>
      <c r="B41" s="6">
        <v>30</v>
      </c>
      <c r="C41" s="6">
        <v>12</v>
      </c>
      <c r="D41" s="6">
        <v>2</v>
      </c>
      <c r="E41" s="6">
        <v>18.399999999999999</v>
      </c>
      <c r="F41" s="6">
        <v>18.420000000000002</v>
      </c>
      <c r="G41" s="6">
        <v>18.29</v>
      </c>
      <c r="H41" s="6">
        <f t="shared" si="0"/>
        <v>18.37</v>
      </c>
      <c r="I41" s="6">
        <f t="shared" si="1"/>
        <v>7.0000000000000798E-2</v>
      </c>
      <c r="J41" s="6" t="s">
        <v>129</v>
      </c>
      <c r="K41" s="6">
        <v>10.4375</v>
      </c>
      <c r="L41" s="6">
        <v>2.12</v>
      </c>
      <c r="M41" s="6">
        <f t="shared" si="2"/>
        <v>988074.66834630142</v>
      </c>
      <c r="N41" s="6">
        <f t="shared" si="3"/>
        <v>1.0120692616011071E-6</v>
      </c>
      <c r="O41" s="6">
        <v>3.9283615628034388E-8</v>
      </c>
      <c r="P41" s="6">
        <f t="shared" si="4"/>
        <v>0.96263517561147782</v>
      </c>
    </row>
    <row r="42" spans="1:16" s="6" customFormat="1">
      <c r="A42" s="6" t="s">
        <v>212</v>
      </c>
      <c r="B42" s="6">
        <v>30</v>
      </c>
      <c r="C42" s="6">
        <v>12</v>
      </c>
      <c r="D42" s="6">
        <v>3</v>
      </c>
      <c r="E42" s="6">
        <v>18.3</v>
      </c>
      <c r="F42" s="6">
        <v>18.25</v>
      </c>
      <c r="G42" s="6">
        <v>18.23</v>
      </c>
      <c r="H42" s="6">
        <f t="shared" si="0"/>
        <v>18.260000000000002</v>
      </c>
      <c r="I42" s="6">
        <f t="shared" si="1"/>
        <v>3.6055512754640105E-2</v>
      </c>
      <c r="J42" s="6">
        <v>24.01</v>
      </c>
      <c r="K42" s="6">
        <v>4.1124999999999998</v>
      </c>
      <c r="L42" s="6">
        <v>2.12</v>
      </c>
      <c r="M42" s="6">
        <f t="shared" si="2"/>
        <v>909688.74303998786</v>
      </c>
      <c r="N42" s="6">
        <f t="shared" si="3"/>
        <v>1.0992770963156156E-6</v>
      </c>
      <c r="O42" s="6">
        <v>2.6999603680232975E-8</v>
      </c>
      <c r="P42" s="6">
        <f t="shared" si="4"/>
        <v>0.97602755727759216</v>
      </c>
    </row>
    <row r="43" spans="1:16" s="6" customFormat="1">
      <c r="A43" s="6" t="s">
        <v>14</v>
      </c>
      <c r="B43" s="6">
        <v>30</v>
      </c>
      <c r="C43" s="6">
        <v>12</v>
      </c>
      <c r="D43" s="6">
        <v>3</v>
      </c>
      <c r="E43" s="6">
        <v>17.920000000000002</v>
      </c>
      <c r="F43" s="6">
        <v>18</v>
      </c>
      <c r="G43" s="6">
        <v>18.100000000000001</v>
      </c>
      <c r="H43" s="6">
        <f t="shared" si="0"/>
        <v>18.006666666666668</v>
      </c>
      <c r="I43" s="6">
        <f>STDEV(E43:G43)</f>
        <v>9.0184995056457801E-2</v>
      </c>
      <c r="J43" s="6" t="s">
        <v>75</v>
      </c>
      <c r="K43" s="6">
        <v>8.2062500000000007</v>
      </c>
      <c r="L43" s="6">
        <v>2.12</v>
      </c>
      <c r="M43" s="6">
        <f t="shared" si="2"/>
        <v>752005.59036609274</v>
      </c>
      <c r="N43" s="6">
        <f t="shared" si="3"/>
        <v>1.3297773484811172E-6</v>
      </c>
      <c r="O43" s="6">
        <v>8.3356106013080117E-8</v>
      </c>
      <c r="P43" s="6">
        <f t="shared" si="4"/>
        <v>0.94101328098348946</v>
      </c>
    </row>
    <row r="44" spans="1:16" s="7" customFormat="1">
      <c r="A44" s="7" t="s">
        <v>77</v>
      </c>
      <c r="B44" s="7">
        <v>27</v>
      </c>
      <c r="C44" s="7">
        <v>24</v>
      </c>
      <c r="D44" s="7">
        <v>1</v>
      </c>
      <c r="E44" s="7">
        <v>18.36</v>
      </c>
      <c r="F44" s="7">
        <v>17.52</v>
      </c>
      <c r="G44" s="7">
        <v>18.36</v>
      </c>
      <c r="H44" s="7">
        <f t="shared" si="0"/>
        <v>18.079999999999998</v>
      </c>
      <c r="I44" s="7">
        <f>STDEV(E44,G44)</f>
        <v>0</v>
      </c>
      <c r="J44" s="7" t="s">
        <v>145</v>
      </c>
      <c r="K44" s="7">
        <v>3.5750000000000002</v>
      </c>
      <c r="L44" s="7">
        <v>2.12</v>
      </c>
      <c r="M44" s="7">
        <f t="shared" si="2"/>
        <v>794606.9615549912</v>
      </c>
      <c r="N44" s="7">
        <f t="shared" si="3"/>
        <v>1.2584838144924741E-6</v>
      </c>
      <c r="O44" s="7">
        <v>3.47763407302728E-8</v>
      </c>
      <c r="P44" s="7">
        <f t="shared" si="4"/>
        <v>0.97310955526633147</v>
      </c>
    </row>
    <row r="45" spans="1:16" s="7" customFormat="1">
      <c r="A45" s="7" t="s">
        <v>78</v>
      </c>
      <c r="B45" s="7">
        <v>27</v>
      </c>
      <c r="C45" s="7">
        <v>24</v>
      </c>
      <c r="D45" s="7">
        <v>1</v>
      </c>
      <c r="E45" s="7">
        <v>22.26</v>
      </c>
      <c r="F45" s="7">
        <v>22.24</v>
      </c>
      <c r="G45" s="7">
        <v>22.21</v>
      </c>
      <c r="H45" s="10">
        <f t="shared" si="0"/>
        <v>22.236666666666668</v>
      </c>
      <c r="I45" s="7">
        <f t="shared" si="1"/>
        <v>2.5166114784236002E-2</v>
      </c>
      <c r="K45" s="7">
        <v>9.3187499999999996</v>
      </c>
      <c r="L45" s="7">
        <v>2.12</v>
      </c>
      <c r="M45" s="7">
        <f t="shared" si="2"/>
        <v>18056008.929692455</v>
      </c>
      <c r="N45" s="7">
        <f t="shared" si="3"/>
        <v>5.5383224714490263E-8</v>
      </c>
      <c r="O45" s="7">
        <v>1.9560454576392006E-9</v>
      </c>
      <c r="P45" s="7">
        <f t="shared" si="4"/>
        <v>0.96588646050486415</v>
      </c>
    </row>
    <row r="46" spans="1:16" s="7" customFormat="1">
      <c r="A46" s="7" t="s">
        <v>79</v>
      </c>
      <c r="B46" s="7">
        <v>27</v>
      </c>
      <c r="C46" s="7">
        <v>24</v>
      </c>
      <c r="D46" s="7">
        <v>1</v>
      </c>
      <c r="E46" s="7">
        <v>18.5</v>
      </c>
      <c r="F46" s="7">
        <v>18.53</v>
      </c>
      <c r="G46" s="7">
        <v>18.489999999999998</v>
      </c>
      <c r="H46" s="7">
        <f t="shared" si="0"/>
        <v>18.506666666666664</v>
      </c>
      <c r="I46" s="7">
        <f t="shared" si="1"/>
        <v>2.081665999466259E-2</v>
      </c>
      <c r="J46" s="7">
        <f>2.1^J28</f>
        <v>516969.87642553385</v>
      </c>
      <c r="K46" s="7">
        <v>6.375</v>
      </c>
      <c r="L46" s="7">
        <v>2.12</v>
      </c>
      <c r="M46" s="7">
        <f t="shared" si="2"/>
        <v>1094936.6670436815</v>
      </c>
      <c r="N46" s="7">
        <f t="shared" si="3"/>
        <v>9.1329483256779625E-7</v>
      </c>
      <c r="O46" s="7">
        <v>4.3961011051962049E-8</v>
      </c>
      <c r="P46" s="7">
        <f t="shared" si="4"/>
        <v>0.95407600659221026</v>
      </c>
    </row>
    <row r="47" spans="1:16" s="7" customFormat="1">
      <c r="A47" s="7" t="s">
        <v>80</v>
      </c>
      <c r="B47" s="7">
        <v>27</v>
      </c>
      <c r="C47" s="7">
        <v>24</v>
      </c>
      <c r="D47" s="7">
        <v>2</v>
      </c>
      <c r="E47" s="7">
        <v>24.39</v>
      </c>
      <c r="F47" s="7">
        <v>24.4</v>
      </c>
      <c r="G47" s="7">
        <v>24.41</v>
      </c>
      <c r="H47" s="7">
        <f t="shared" si="0"/>
        <v>24.400000000000002</v>
      </c>
      <c r="I47" s="7">
        <f t="shared" si="1"/>
        <v>9.9999999999997868E-3</v>
      </c>
      <c r="J47" s="7">
        <f>2.05^J30</f>
        <v>571342.45706811151</v>
      </c>
      <c r="K47" s="7">
        <v>5.03125</v>
      </c>
      <c r="L47" s="7">
        <v>2.12</v>
      </c>
      <c r="M47" s="7">
        <f t="shared" si="2"/>
        <v>91747662.147001192</v>
      </c>
      <c r="N47" s="7">
        <f t="shared" si="3"/>
        <v>1.0899460287039972E-8</v>
      </c>
      <c r="O47" s="7">
        <v>5.7823348321793304E-10</v>
      </c>
      <c r="P47" s="7">
        <f t="shared" si="4"/>
        <v>0.94962110901439911</v>
      </c>
    </row>
    <row r="48" spans="1:16" s="7" customFormat="1">
      <c r="A48" s="7" t="s">
        <v>81</v>
      </c>
      <c r="B48" s="7">
        <v>27</v>
      </c>
      <c r="C48" s="7">
        <v>24</v>
      </c>
      <c r="D48" s="7">
        <v>2</v>
      </c>
      <c r="E48" s="7">
        <v>18.91</v>
      </c>
      <c r="F48" s="7">
        <v>18.66</v>
      </c>
      <c r="G48" s="7">
        <v>18.57</v>
      </c>
      <c r="H48" s="7">
        <f t="shared" si="0"/>
        <v>18.713333333333335</v>
      </c>
      <c r="I48" s="10">
        <f t="shared" si="1"/>
        <v>0.17616280348965074</v>
      </c>
      <c r="J48" s="7">
        <f>J46/J47</f>
        <v>0.90483364229293439</v>
      </c>
      <c r="K48" s="7">
        <v>3.3125</v>
      </c>
      <c r="L48" s="7">
        <v>2.12</v>
      </c>
      <c r="M48" s="7">
        <f t="shared" si="2"/>
        <v>1278885.7379790298</v>
      </c>
      <c r="N48" s="7">
        <f t="shared" si="3"/>
        <v>7.8193068411276413E-7</v>
      </c>
      <c r="O48" s="7">
        <v>6.1176244903640811E-8</v>
      </c>
      <c r="P48" s="7">
        <f t="shared" si="4"/>
        <v>0.92743951828861027</v>
      </c>
    </row>
    <row r="49" spans="1:16" s="7" customFormat="1">
      <c r="A49" s="7" t="s">
        <v>82</v>
      </c>
      <c r="B49" s="7">
        <v>27</v>
      </c>
      <c r="C49" s="7">
        <v>24</v>
      </c>
      <c r="D49" s="7">
        <v>2</v>
      </c>
      <c r="E49" s="7">
        <v>20.64</v>
      </c>
      <c r="F49" s="7">
        <v>20.65</v>
      </c>
      <c r="G49" s="7">
        <v>20.66</v>
      </c>
      <c r="H49" s="7">
        <f t="shared" si="0"/>
        <v>20.650000000000002</v>
      </c>
      <c r="I49" s="7">
        <f t="shared" si="1"/>
        <v>9.9999999999997868E-3</v>
      </c>
      <c r="J49" s="7" t="s">
        <v>279</v>
      </c>
      <c r="K49" s="7">
        <v>5.7562499999999996</v>
      </c>
      <c r="L49" s="7">
        <v>2.12</v>
      </c>
      <c r="M49" s="7">
        <f t="shared" si="2"/>
        <v>5480693.6606435105</v>
      </c>
      <c r="N49" s="7">
        <f t="shared" si="3"/>
        <v>1.8245865613342561E-7</v>
      </c>
      <c r="O49" s="7">
        <v>5.9685630077991717E-9</v>
      </c>
      <c r="P49" s="7">
        <f t="shared" si="4"/>
        <v>0.96832430561252514</v>
      </c>
    </row>
    <row r="50" spans="1:16" s="7" customFormat="1">
      <c r="A50" s="7" t="s">
        <v>10</v>
      </c>
      <c r="B50" s="7">
        <v>27</v>
      </c>
      <c r="C50" s="7">
        <v>24</v>
      </c>
      <c r="D50" s="7">
        <v>3</v>
      </c>
      <c r="E50" s="7">
        <v>20.100000000000001</v>
      </c>
      <c r="F50" s="7">
        <v>20.04</v>
      </c>
      <c r="G50" s="7">
        <v>20.29</v>
      </c>
      <c r="H50" s="7">
        <f t="shared" si="0"/>
        <v>20.143333333333334</v>
      </c>
      <c r="I50" s="7">
        <f t="shared" si="1"/>
        <v>0.13051181300301223</v>
      </c>
      <c r="J50" s="7" t="s">
        <v>159</v>
      </c>
      <c r="K50" s="7">
        <v>8.25</v>
      </c>
      <c r="L50" s="7">
        <v>2.12</v>
      </c>
      <c r="M50" s="7">
        <f t="shared" si="2"/>
        <v>3745346.69615079</v>
      </c>
      <c r="N50" s="7">
        <f t="shared" si="3"/>
        <v>2.6699797939339802E-7</v>
      </c>
      <c r="O50" s="7">
        <v>8.0755269676208806E-9</v>
      </c>
      <c r="P50" s="7">
        <f t="shared" si="4"/>
        <v>0.97064229458353513</v>
      </c>
    </row>
    <row r="51" spans="1:16" s="7" customFormat="1">
      <c r="A51" s="7" t="s">
        <v>148</v>
      </c>
      <c r="B51" s="7">
        <v>27</v>
      </c>
      <c r="C51" s="7">
        <v>24</v>
      </c>
      <c r="D51" s="7">
        <v>3</v>
      </c>
      <c r="E51" s="7">
        <v>20.93</v>
      </c>
      <c r="F51" s="7">
        <v>20.66</v>
      </c>
      <c r="G51" s="7">
        <v>20.58</v>
      </c>
      <c r="H51" s="7">
        <f t="shared" si="0"/>
        <v>20.723333333333333</v>
      </c>
      <c r="I51" s="10">
        <f t="shared" si="1"/>
        <v>0.18339392937971941</v>
      </c>
      <c r="J51" s="7" t="s">
        <v>165</v>
      </c>
      <c r="K51" s="7">
        <v>9.3874999999999993</v>
      </c>
      <c r="L51" s="7">
        <v>2.12</v>
      </c>
      <c r="M51" s="7">
        <f t="shared" si="2"/>
        <v>5791176.8113020733</v>
      </c>
      <c r="N51" s="7">
        <f t="shared" si="3"/>
        <v>1.7267647536652617E-7</v>
      </c>
      <c r="O51" s="7">
        <v>4.3906924563043312E-9</v>
      </c>
      <c r="P51" s="7">
        <f t="shared" si="4"/>
        <v>0.97520323778659213</v>
      </c>
    </row>
    <row r="52" spans="1:16" s="7" customFormat="1">
      <c r="A52" s="7" t="s">
        <v>149</v>
      </c>
      <c r="B52" s="7">
        <v>27</v>
      </c>
      <c r="C52" s="7">
        <v>24</v>
      </c>
      <c r="D52" s="7">
        <v>3</v>
      </c>
      <c r="E52" s="7">
        <v>20.48</v>
      </c>
      <c r="F52" s="7">
        <v>20.49</v>
      </c>
      <c r="G52" s="7">
        <v>20.58</v>
      </c>
      <c r="H52" s="7">
        <f t="shared" si="0"/>
        <v>20.516666666666666</v>
      </c>
      <c r="I52" s="7">
        <f t="shared" si="1"/>
        <v>5.5075705472860274E-2</v>
      </c>
      <c r="K52" s="7">
        <v>9.8187499999999996</v>
      </c>
      <c r="L52" s="7">
        <v>2.12</v>
      </c>
      <c r="M52" s="7">
        <f t="shared" si="2"/>
        <v>4958200.4456849638</v>
      </c>
      <c r="N52" s="7">
        <f t="shared" si="3"/>
        <v>2.0168607763130727E-7</v>
      </c>
      <c r="O52" s="7">
        <v>4.6447369992626232E-9</v>
      </c>
      <c r="P52" s="7">
        <f t="shared" si="4"/>
        <v>0.97748888353114427</v>
      </c>
    </row>
    <row r="53" spans="1:16" s="6" customFormat="1">
      <c r="A53" s="6" t="s">
        <v>235</v>
      </c>
      <c r="B53" s="6">
        <v>30</v>
      </c>
      <c r="C53" s="6">
        <v>24</v>
      </c>
      <c r="D53" s="6">
        <v>1</v>
      </c>
      <c r="E53" s="6">
        <v>21.11</v>
      </c>
      <c r="F53" s="6">
        <v>21.11</v>
      </c>
      <c r="G53" s="6">
        <v>21.16</v>
      </c>
      <c r="H53" s="6">
        <f t="shared" si="0"/>
        <v>21.126666666666665</v>
      </c>
      <c r="I53" s="6">
        <f t="shared" si="1"/>
        <v>2.88675134594817E-2</v>
      </c>
      <c r="J53" s="6" t="s">
        <v>273</v>
      </c>
      <c r="K53" s="6">
        <v>4.3499999999999996</v>
      </c>
      <c r="L53" s="6">
        <v>2.12</v>
      </c>
      <c r="M53" s="6">
        <f t="shared" si="2"/>
        <v>7841315.9859846411</v>
      </c>
      <c r="N53" s="6">
        <f t="shared" si="3"/>
        <v>1.2752961387952905E-7</v>
      </c>
      <c r="O53" s="6">
        <v>3.4088392772966618E-9</v>
      </c>
      <c r="P53" s="6">
        <f t="shared" si="4"/>
        <v>0.97396609479406415</v>
      </c>
    </row>
    <row r="54" spans="1:16" s="6" customFormat="1">
      <c r="A54" s="6" t="s">
        <v>236</v>
      </c>
      <c r="B54" s="6">
        <v>30</v>
      </c>
      <c r="C54" s="6">
        <v>24</v>
      </c>
      <c r="D54" s="6">
        <v>1</v>
      </c>
      <c r="E54" s="6">
        <v>19.170000000000002</v>
      </c>
      <c r="F54" s="6">
        <v>19.22</v>
      </c>
      <c r="G54" s="6">
        <v>19.239999999999998</v>
      </c>
      <c r="H54" s="6">
        <f t="shared" si="0"/>
        <v>19.209999999999997</v>
      </c>
      <c r="I54" s="6">
        <f t="shared" si="1"/>
        <v>3.6055512754638142E-2</v>
      </c>
      <c r="J54" s="6" t="s">
        <v>274</v>
      </c>
      <c r="K54" s="6">
        <v>5.85</v>
      </c>
      <c r="L54" s="6">
        <v>2.12</v>
      </c>
      <c r="M54" s="6">
        <f t="shared" si="2"/>
        <v>1857427.5738538911</v>
      </c>
      <c r="N54" s="6">
        <f t="shared" si="3"/>
        <v>5.3837900011635232E-7</v>
      </c>
      <c r="O54" s="6">
        <v>4.1751803353625399E-8</v>
      </c>
      <c r="P54" s="6">
        <f t="shared" si="4"/>
        <v>0.92803036297350128</v>
      </c>
    </row>
    <row r="55" spans="1:16" s="6" customFormat="1">
      <c r="A55" s="6" t="s">
        <v>237</v>
      </c>
      <c r="B55" s="6">
        <v>30</v>
      </c>
      <c r="C55" s="6">
        <v>24</v>
      </c>
      <c r="D55" s="6">
        <v>1</v>
      </c>
      <c r="E55" s="6">
        <v>20.03</v>
      </c>
      <c r="F55" s="6">
        <v>19.989999999999998</v>
      </c>
      <c r="G55" s="6">
        <v>20.149999999999999</v>
      </c>
      <c r="H55" s="6">
        <f t="shared" si="0"/>
        <v>20.056666666666665</v>
      </c>
      <c r="I55" s="6">
        <f t="shared" si="1"/>
        <v>8.326663997864496E-2</v>
      </c>
      <c r="K55" s="6">
        <v>5.7437500000000004</v>
      </c>
      <c r="L55" s="6">
        <v>2.12</v>
      </c>
      <c r="M55" s="6">
        <f t="shared" si="2"/>
        <v>3509211.8241551952</v>
      </c>
      <c r="N55" s="6">
        <f t="shared" si="3"/>
        <v>2.8496427406195101E-7</v>
      </c>
      <c r="O55" s="6">
        <v>1.6084783282164967E-8</v>
      </c>
      <c r="P55" s="6">
        <f t="shared" si="4"/>
        <v>0.94657088972785208</v>
      </c>
    </row>
    <row r="56" spans="1:16" s="6" customFormat="1">
      <c r="A56" s="6" t="s">
        <v>83</v>
      </c>
      <c r="B56" s="6">
        <v>30</v>
      </c>
      <c r="C56" s="6">
        <v>24</v>
      </c>
      <c r="D56" s="6">
        <v>2</v>
      </c>
      <c r="E56" s="6">
        <v>20.16</v>
      </c>
      <c r="F56" s="6">
        <v>20</v>
      </c>
      <c r="G56" s="6">
        <v>19.989999999999998</v>
      </c>
      <c r="H56" s="6">
        <f t="shared" si="0"/>
        <v>20.049999999999997</v>
      </c>
      <c r="I56" s="6">
        <f t="shared" si="1"/>
        <v>9.5393920141695135E-2</v>
      </c>
      <c r="K56" s="6">
        <v>6.8125</v>
      </c>
      <c r="L56" s="6">
        <v>2.0499999999999998</v>
      </c>
      <c r="M56" s="6">
        <f t="shared" si="2"/>
        <v>1781004.0791929136</v>
      </c>
      <c r="N56" s="6">
        <f t="shared" si="3"/>
        <v>5.6148102729397659E-7</v>
      </c>
      <c r="O56" s="6">
        <v>2.6388876017308985E-8</v>
      </c>
      <c r="P56" s="6">
        <f t="shared" si="4"/>
        <v>0.95511102734011599</v>
      </c>
    </row>
    <row r="57" spans="1:16" s="6" customFormat="1">
      <c r="A57" s="6" t="s">
        <v>84</v>
      </c>
      <c r="B57" s="6">
        <v>30</v>
      </c>
      <c r="C57" s="6">
        <v>24</v>
      </c>
      <c r="D57" s="6">
        <v>2</v>
      </c>
      <c r="E57" s="6">
        <v>20.010000000000002</v>
      </c>
      <c r="F57" s="6">
        <v>19.82</v>
      </c>
      <c r="G57" s="6">
        <v>19.86</v>
      </c>
      <c r="H57" s="6">
        <f t="shared" si="0"/>
        <v>19.896666666666665</v>
      </c>
      <c r="I57" s="6">
        <f t="shared" si="1"/>
        <v>0.10016652800877901</v>
      </c>
      <c r="J57" s="6" t="s">
        <v>9</v>
      </c>
      <c r="K57" s="6">
        <v>5.4</v>
      </c>
      <c r="L57" s="6">
        <v>2.0499999999999998</v>
      </c>
      <c r="M57" s="6">
        <f t="shared" si="2"/>
        <v>1595374.5343034202</v>
      </c>
      <c r="N57" s="6">
        <f t="shared" si="3"/>
        <v>6.2681206105413017E-7</v>
      </c>
      <c r="O57" s="6">
        <v>1.3857279535150778E-8</v>
      </c>
      <c r="P57" s="6">
        <f t="shared" si="4"/>
        <v>0.97837062169635747</v>
      </c>
    </row>
    <row r="58" spans="1:16" s="6" customFormat="1">
      <c r="A58" s="6" t="s">
        <v>214</v>
      </c>
      <c r="B58" s="6">
        <v>30</v>
      </c>
      <c r="C58" s="6">
        <v>24</v>
      </c>
      <c r="D58" s="6">
        <v>2</v>
      </c>
      <c r="E58" s="6">
        <v>18.79</v>
      </c>
      <c r="F58" s="6">
        <v>18.77</v>
      </c>
      <c r="G58" s="6">
        <v>18.78</v>
      </c>
      <c r="H58" s="6">
        <f t="shared" si="0"/>
        <v>18.78</v>
      </c>
      <c r="I58" s="6">
        <f t="shared" si="1"/>
        <v>9.9999999999997868E-3</v>
      </c>
      <c r="J58" s="6">
        <f>AVERAGE(18.08,17.97,17.94)</f>
        <v>17.996666666666666</v>
      </c>
      <c r="K58" s="6">
        <v>6.7</v>
      </c>
      <c r="L58" s="6">
        <v>2.0499999999999998</v>
      </c>
      <c r="M58" s="6">
        <f t="shared" si="2"/>
        <v>715710.70096607017</v>
      </c>
      <c r="N58" s="6">
        <f t="shared" si="3"/>
        <v>1.3972125869435717E-6</v>
      </c>
      <c r="O58" s="6">
        <v>2.8820499407643063E-8</v>
      </c>
      <c r="P58" s="6">
        <f t="shared" si="4"/>
        <v>0.97978974002532726</v>
      </c>
    </row>
    <row r="59" spans="1:16" s="6" customFormat="1">
      <c r="A59" s="6" t="s">
        <v>35</v>
      </c>
      <c r="B59" s="6">
        <v>30</v>
      </c>
      <c r="C59" s="6">
        <v>24</v>
      </c>
      <c r="D59" s="6">
        <v>3</v>
      </c>
      <c r="E59" s="6">
        <v>17.3</v>
      </c>
      <c r="F59" s="6">
        <v>17.239999999999998</v>
      </c>
      <c r="G59" s="6">
        <v>17.170000000000002</v>
      </c>
      <c r="H59" s="6">
        <f t="shared" si="0"/>
        <v>17.236666666666668</v>
      </c>
      <c r="I59" s="6">
        <f t="shared" si="1"/>
        <v>6.5064070986476541E-2</v>
      </c>
      <c r="J59" s="6" t="s">
        <v>238</v>
      </c>
      <c r="K59" s="6">
        <v>3.45</v>
      </c>
      <c r="L59" s="6">
        <v>2.0499999999999998</v>
      </c>
      <c r="M59" s="6">
        <f t="shared" si="2"/>
        <v>236372.73758065508</v>
      </c>
      <c r="N59" s="6">
        <f t="shared" si="3"/>
        <v>4.230606330642425E-6</v>
      </c>
      <c r="O59" s="6">
        <v>5.3174407534282804E-8</v>
      </c>
      <c r="P59" s="6">
        <f t="shared" si="4"/>
        <v>0.98758703799650693</v>
      </c>
    </row>
    <row r="60" spans="1:16" s="6" customFormat="1">
      <c r="A60" s="6" t="s">
        <v>154</v>
      </c>
      <c r="B60" s="6">
        <v>30</v>
      </c>
      <c r="C60" s="6">
        <v>24</v>
      </c>
      <c r="D60" s="6">
        <v>3</v>
      </c>
      <c r="E60" s="6" t="s">
        <v>31</v>
      </c>
      <c r="F60" s="6">
        <v>18.8</v>
      </c>
      <c r="G60" s="6">
        <v>18.13</v>
      </c>
      <c r="H60" s="6">
        <f t="shared" si="0"/>
        <v>18.465</v>
      </c>
      <c r="I60" s="12">
        <f t="shared" si="1"/>
        <v>0.47376154339498805</v>
      </c>
      <c r="J60" s="6">
        <f>AVERAGE(20.99,21.01,21.05)</f>
        <v>21.016666666666666</v>
      </c>
      <c r="K60" s="6">
        <v>1.5687500000000001</v>
      </c>
      <c r="L60" s="6">
        <v>2.0499999999999998</v>
      </c>
      <c r="M60" s="6">
        <f t="shared" si="2"/>
        <v>570867.13912438171</v>
      </c>
      <c r="N60" s="6">
        <f t="shared" si="3"/>
        <v>1.7517210774013706E-6</v>
      </c>
      <c r="O60" s="6">
        <v>6.8182608038058716E-8</v>
      </c>
      <c r="P60" s="6">
        <f t="shared" si="4"/>
        <v>0.96253504590184091</v>
      </c>
    </row>
    <row r="61" spans="1:16" s="7" customFormat="1">
      <c r="A61" s="7" t="s">
        <v>110</v>
      </c>
      <c r="B61" s="7">
        <v>27</v>
      </c>
      <c r="C61" s="7">
        <v>48</v>
      </c>
      <c r="D61" s="7">
        <v>1</v>
      </c>
      <c r="E61" s="7">
        <v>18.09</v>
      </c>
      <c r="F61" s="7">
        <v>18.05</v>
      </c>
      <c r="G61" s="7">
        <v>18.010000000000002</v>
      </c>
      <c r="H61" s="7">
        <f t="shared" si="0"/>
        <v>18.05</v>
      </c>
      <c r="I61" s="7">
        <f t="shared" si="1"/>
        <v>3.9999999999999147E-2</v>
      </c>
      <c r="J61" s="7" t="s">
        <v>129</v>
      </c>
      <c r="K61" s="7">
        <v>4.0187499999999998</v>
      </c>
      <c r="L61" s="7">
        <v>2.0499999999999998</v>
      </c>
      <c r="M61" s="7">
        <f t="shared" si="2"/>
        <v>423796.33056345448</v>
      </c>
      <c r="N61" s="7">
        <f t="shared" si="3"/>
        <v>2.3596240172029317E-6</v>
      </c>
      <c r="O61" s="7">
        <v>5.1170097000090886E-8</v>
      </c>
      <c r="P61" s="7">
        <f t="shared" si="4"/>
        <v>0.97877458854797017</v>
      </c>
    </row>
    <row r="62" spans="1:16" s="7" customFormat="1">
      <c r="A62" s="7" t="s">
        <v>111</v>
      </c>
      <c r="B62" s="7">
        <v>27</v>
      </c>
      <c r="C62" s="7">
        <v>48</v>
      </c>
      <c r="D62" s="7">
        <v>1</v>
      </c>
      <c r="E62" s="7">
        <v>17.09</v>
      </c>
      <c r="F62" s="7">
        <v>17.100000000000001</v>
      </c>
      <c r="G62" s="7">
        <v>17.14</v>
      </c>
      <c r="H62" s="7">
        <f t="shared" si="0"/>
        <v>17.11</v>
      </c>
      <c r="I62" s="7">
        <f t="shared" si="1"/>
        <v>2.6457513110646015E-2</v>
      </c>
      <c r="J62" s="7">
        <f>AVERAGE(24.26,24.28,24.67)</f>
        <v>24.403333333333336</v>
      </c>
      <c r="K62" s="7">
        <v>7.7374999999999998</v>
      </c>
      <c r="L62" s="7">
        <v>2.0499999999999998</v>
      </c>
      <c r="M62" s="7">
        <f t="shared" si="2"/>
        <v>215828.3858240211</v>
      </c>
      <c r="N62" s="7">
        <f t="shared" si="3"/>
        <v>4.6333108417692796E-6</v>
      </c>
      <c r="O62" s="7">
        <v>9.0646162773998532E-8</v>
      </c>
      <c r="P62" s="7">
        <f t="shared" si="4"/>
        <v>0.98081139123687633</v>
      </c>
    </row>
    <row r="63" spans="1:16" s="7" customFormat="1">
      <c r="A63" s="7" t="s">
        <v>112</v>
      </c>
      <c r="B63" s="7">
        <v>27</v>
      </c>
      <c r="C63" s="7">
        <v>48</v>
      </c>
      <c r="D63" s="7">
        <v>1</v>
      </c>
      <c r="E63" s="7">
        <v>17.05</v>
      </c>
      <c r="F63" s="7">
        <v>16.920000000000002</v>
      </c>
      <c r="G63" s="7">
        <v>17.059999999999999</v>
      </c>
      <c r="H63" s="7">
        <f t="shared" si="0"/>
        <v>17.010000000000002</v>
      </c>
      <c r="I63" s="7">
        <f t="shared" si="1"/>
        <v>7.8102496759065332E-2</v>
      </c>
      <c r="J63" s="7">
        <f>J62-J60</f>
        <v>3.3866666666666703</v>
      </c>
      <c r="K63" s="7">
        <v>8.3187499999999996</v>
      </c>
      <c r="L63" s="7">
        <v>2.0499999999999998</v>
      </c>
      <c r="M63" s="7">
        <f t="shared" si="2"/>
        <v>200878.37039883123</v>
      </c>
      <c r="N63" s="7">
        <f t="shared" si="3"/>
        <v>4.9781367601427845E-6</v>
      </c>
      <c r="O63" s="7">
        <v>1.1649356285265245E-7</v>
      </c>
      <c r="P63" s="7">
        <f t="shared" si="4"/>
        <v>0.97713404987858676</v>
      </c>
    </row>
    <row r="64" spans="1:16" s="7" customFormat="1">
      <c r="A64" s="7" t="s">
        <v>113</v>
      </c>
      <c r="B64" s="7">
        <v>27</v>
      </c>
      <c r="C64" s="7">
        <v>48</v>
      </c>
      <c r="D64" s="7">
        <v>2</v>
      </c>
      <c r="E64" s="7">
        <v>17.93</v>
      </c>
      <c r="F64" s="7">
        <v>17.75</v>
      </c>
      <c r="G64" s="7">
        <v>17.7</v>
      </c>
      <c r="H64" s="7">
        <f t="shared" si="0"/>
        <v>17.793333333333333</v>
      </c>
      <c r="I64" s="7">
        <f t="shared" si="1"/>
        <v>0.12096831541082714</v>
      </c>
      <c r="J64" s="7">
        <f>J60-J58</f>
        <v>3.0199999999999996</v>
      </c>
      <c r="K64" s="7">
        <v>5.95</v>
      </c>
      <c r="L64" s="7">
        <v>2.0499999999999998</v>
      </c>
      <c r="M64" s="7">
        <f t="shared" si="2"/>
        <v>352484.77875125472</v>
      </c>
      <c r="N64" s="7">
        <f t="shared" si="3"/>
        <v>2.8370019367721149E-6</v>
      </c>
      <c r="O64" s="7">
        <v>5.7681773766183696E-8</v>
      </c>
      <c r="P64" s="7">
        <f t="shared" si="4"/>
        <v>0.98007320331537806</v>
      </c>
    </row>
    <row r="65" spans="1:16" s="7" customFormat="1">
      <c r="A65" s="7" t="s">
        <v>125</v>
      </c>
      <c r="B65" s="7">
        <v>27</v>
      </c>
      <c r="C65" s="7">
        <v>48</v>
      </c>
      <c r="D65" s="7">
        <v>2</v>
      </c>
      <c r="E65" s="7">
        <v>17.87</v>
      </c>
      <c r="F65" s="7">
        <v>17.71</v>
      </c>
      <c r="G65" s="7">
        <v>17.64</v>
      </c>
      <c r="H65" s="7">
        <f t="shared" ref="H65:H78" si="6">AVERAGE(E65:G65)</f>
        <v>17.739999999999998</v>
      </c>
      <c r="I65" s="7">
        <f t="shared" ref="I65:I78" si="7">STDEV(E65:G65)</f>
        <v>0.11789826122551617</v>
      </c>
      <c r="J65" s="7">
        <f>AVERAGE(J63:J64)</f>
        <v>3.2033333333333349</v>
      </c>
      <c r="K65" s="7">
        <v>3.109375</v>
      </c>
      <c r="L65" s="7">
        <v>2.0499999999999998</v>
      </c>
      <c r="M65" s="7">
        <f t="shared" ref="M65:M78" si="8">L65^H65</f>
        <v>339245.03097022988</v>
      </c>
      <c r="N65" s="7">
        <f t="shared" ref="N65:N78" si="9">M65^-1</f>
        <v>2.9477218786080143E-6</v>
      </c>
      <c r="O65" s="7">
        <v>1.4021334918216328E-7</v>
      </c>
      <c r="P65" s="7">
        <f t="shared" ref="P65:P78" si="10">N65/(N65+O65)</f>
        <v>0.95459317024518542</v>
      </c>
    </row>
    <row r="66" spans="1:16" s="7" customFormat="1">
      <c r="A66" s="7" t="s">
        <v>126</v>
      </c>
      <c r="B66" s="7">
        <v>27</v>
      </c>
      <c r="C66" s="7">
        <v>48</v>
      </c>
      <c r="D66" s="7">
        <v>2</v>
      </c>
      <c r="E66" s="7">
        <v>18.899999999999999</v>
      </c>
      <c r="F66" s="7">
        <v>18.93</v>
      </c>
      <c r="G66" s="7">
        <v>18.98</v>
      </c>
      <c r="H66" s="7">
        <f t="shared" si="6"/>
        <v>18.936666666666667</v>
      </c>
      <c r="I66" s="7">
        <f t="shared" si="7"/>
        <v>4.0414518843274704E-2</v>
      </c>
      <c r="J66" s="7" t="s">
        <v>276</v>
      </c>
      <c r="K66" s="7">
        <v>3.5249999999999999</v>
      </c>
      <c r="L66" s="7">
        <v>2.0499999999999998</v>
      </c>
      <c r="M66" s="7">
        <f t="shared" si="8"/>
        <v>800901.20827447157</v>
      </c>
      <c r="N66" s="7">
        <f t="shared" si="9"/>
        <v>1.2485934465681274E-6</v>
      </c>
      <c r="O66" s="7">
        <v>3.1405127246179048E-8</v>
      </c>
      <c r="P66" s="7">
        <f t="shared" si="10"/>
        <v>0.97546471700152448</v>
      </c>
    </row>
    <row r="67" spans="1:16" s="7" customFormat="1">
      <c r="A67" s="7" t="s">
        <v>127</v>
      </c>
      <c r="B67" s="7">
        <v>27</v>
      </c>
      <c r="C67" s="7">
        <v>48</v>
      </c>
      <c r="D67" s="7">
        <v>3</v>
      </c>
      <c r="E67" s="7">
        <v>19.27</v>
      </c>
      <c r="F67" s="7">
        <v>19.399999999999999</v>
      </c>
      <c r="G67" s="7">
        <v>19.420000000000002</v>
      </c>
      <c r="H67" s="7">
        <f t="shared" si="6"/>
        <v>19.363333333333333</v>
      </c>
      <c r="I67" s="7">
        <f t="shared" si="7"/>
        <v>8.1445278152471295E-2</v>
      </c>
      <c r="J67" s="7" t="s">
        <v>277</v>
      </c>
      <c r="K67" s="7">
        <v>4.2249999999999996</v>
      </c>
      <c r="L67" s="7">
        <v>2.0499999999999998</v>
      </c>
      <c r="M67" s="7">
        <f t="shared" si="8"/>
        <v>1087912.4067994242</v>
      </c>
      <c r="N67" s="7">
        <f t="shared" si="9"/>
        <v>9.1919164975969211E-7</v>
      </c>
      <c r="O67" s="7">
        <v>2.6809688705254309E-8</v>
      </c>
      <c r="P67" s="7">
        <f t="shared" si="10"/>
        <v>0.97165998861190006</v>
      </c>
    </row>
    <row r="68" spans="1:16" s="7" customFormat="1">
      <c r="A68" s="7" t="s">
        <v>128</v>
      </c>
      <c r="B68" s="7">
        <v>27</v>
      </c>
      <c r="C68" s="7">
        <v>48</v>
      </c>
      <c r="D68" s="7">
        <v>3</v>
      </c>
      <c r="E68" s="7">
        <v>19.77</v>
      </c>
      <c r="F68" s="7">
        <v>19.66</v>
      </c>
      <c r="G68" s="7">
        <v>19.690000000000001</v>
      </c>
      <c r="H68" s="7">
        <f t="shared" si="6"/>
        <v>19.706666666666667</v>
      </c>
      <c r="I68" s="7">
        <f t="shared" si="7"/>
        <v>5.6862407030772784E-2</v>
      </c>
      <c r="K68" s="7">
        <v>6.1437499999999998</v>
      </c>
      <c r="L68" s="7">
        <v>2.0499999999999998</v>
      </c>
      <c r="M68" s="7">
        <f t="shared" si="8"/>
        <v>1391968.5464529572</v>
      </c>
      <c r="N68" s="7">
        <f t="shared" si="9"/>
        <v>7.1840703767927837E-7</v>
      </c>
      <c r="O68" s="7">
        <v>2.3251654645743E-8</v>
      </c>
      <c r="P68" s="7">
        <f t="shared" si="10"/>
        <v>0.9686491173280104</v>
      </c>
    </row>
    <row r="69" spans="1:16" s="7" customFormat="1">
      <c r="A69" s="7" t="s">
        <v>189</v>
      </c>
      <c r="B69" s="7">
        <v>27</v>
      </c>
      <c r="C69" s="7">
        <v>48</v>
      </c>
      <c r="D69" s="7">
        <v>3</v>
      </c>
      <c r="E69" s="7">
        <v>19.850000000000001</v>
      </c>
      <c r="F69" s="7">
        <v>19.7</v>
      </c>
      <c r="G69" s="7">
        <v>19.670000000000002</v>
      </c>
      <c r="H69" s="7">
        <f t="shared" si="6"/>
        <v>19.739999999999998</v>
      </c>
      <c r="I69" s="7">
        <f t="shared" si="7"/>
        <v>9.6436507609929889E-2</v>
      </c>
      <c r="K69" s="7">
        <v>4.2874999999999996</v>
      </c>
      <c r="L69" s="7">
        <v>2.0499999999999998</v>
      </c>
      <c r="M69" s="7">
        <f t="shared" si="8"/>
        <v>1425677.2426523929</v>
      </c>
      <c r="N69" s="7">
        <f t="shared" si="9"/>
        <v>7.0142103000785498E-7</v>
      </c>
      <c r="O69" s="7">
        <v>1.5031901627601561E-8</v>
      </c>
      <c r="P69" s="7">
        <f t="shared" si="10"/>
        <v>0.97901899627476141</v>
      </c>
    </row>
    <row r="70" spans="1:16" s="6" customFormat="1">
      <c r="A70" s="6" t="s">
        <v>190</v>
      </c>
      <c r="B70" s="6">
        <v>30</v>
      </c>
      <c r="C70" s="6">
        <v>48</v>
      </c>
      <c r="D70" s="6">
        <v>1</v>
      </c>
      <c r="E70" s="6">
        <v>19.059999999999999</v>
      </c>
      <c r="F70" s="6">
        <v>19.02</v>
      </c>
      <c r="G70" s="6">
        <v>19.05</v>
      </c>
      <c r="H70" s="6">
        <f t="shared" si="6"/>
        <v>19.043333333333333</v>
      </c>
      <c r="I70" s="6">
        <f t="shared" si="7"/>
        <v>2.0816659994661167E-2</v>
      </c>
      <c r="K70" s="6">
        <v>4.1124999999999998</v>
      </c>
      <c r="L70" s="6">
        <v>2.0499999999999998</v>
      </c>
      <c r="M70" s="6">
        <f t="shared" si="8"/>
        <v>864634.76598557667</v>
      </c>
      <c r="N70" s="6">
        <f t="shared" si="9"/>
        <v>1.1565577042927758E-6</v>
      </c>
      <c r="O70" s="6">
        <v>3.3155673593045831E-8</v>
      </c>
      <c r="P70" s="6">
        <f t="shared" si="10"/>
        <v>0.97213137701118812</v>
      </c>
    </row>
    <row r="71" spans="1:16" s="6" customFormat="1">
      <c r="A71" s="6" t="s">
        <v>191</v>
      </c>
      <c r="B71" s="6">
        <v>30</v>
      </c>
      <c r="C71" s="6">
        <v>48</v>
      </c>
      <c r="D71" s="6">
        <v>1</v>
      </c>
      <c r="E71" s="6">
        <v>17.3</v>
      </c>
      <c r="F71" s="6">
        <v>17.52</v>
      </c>
      <c r="G71" s="6">
        <v>17.75</v>
      </c>
      <c r="H71" s="6">
        <f t="shared" si="6"/>
        <v>17.523333333333333</v>
      </c>
      <c r="I71" s="12">
        <f t="shared" si="7"/>
        <v>0.22501851775650195</v>
      </c>
      <c r="K71" s="6">
        <v>7.125</v>
      </c>
      <c r="L71" s="6">
        <v>2.0499999999999998</v>
      </c>
      <c r="M71" s="6">
        <f t="shared" si="8"/>
        <v>290380.08312604082</v>
      </c>
      <c r="N71" s="6">
        <f t="shared" si="9"/>
        <v>3.4437623587494649E-6</v>
      </c>
      <c r="O71" s="6">
        <v>6.6809715523839492E-8</v>
      </c>
      <c r="P71" s="6">
        <f t="shared" si="10"/>
        <v>0.98096899476485766</v>
      </c>
    </row>
    <row r="72" spans="1:16" s="6" customFormat="1">
      <c r="A72" s="6" t="s">
        <v>192</v>
      </c>
      <c r="B72" s="6">
        <v>30</v>
      </c>
      <c r="C72" s="6">
        <v>48</v>
      </c>
      <c r="D72" s="6">
        <v>1</v>
      </c>
      <c r="E72" s="6">
        <v>18.89</v>
      </c>
      <c r="F72" s="6">
        <v>18.87</v>
      </c>
      <c r="G72" s="6">
        <v>18.850000000000001</v>
      </c>
      <c r="H72" s="6">
        <f t="shared" si="6"/>
        <v>18.87</v>
      </c>
      <c r="I72" s="6">
        <f t="shared" si="7"/>
        <v>1.9999999999999574E-2</v>
      </c>
      <c r="K72" s="6">
        <v>5.4874999999999998</v>
      </c>
      <c r="L72" s="6">
        <v>2.0499999999999998</v>
      </c>
      <c r="M72" s="6">
        <f t="shared" si="8"/>
        <v>763475.94486511999</v>
      </c>
      <c r="N72" s="6">
        <f t="shared" si="9"/>
        <v>1.309798961873862E-6</v>
      </c>
      <c r="O72" s="6">
        <v>3.383699929130542E-8</v>
      </c>
      <c r="P72" s="6">
        <f t="shared" si="10"/>
        <v>0.9748168400747752</v>
      </c>
    </row>
    <row r="73" spans="1:16" s="6" customFormat="1">
      <c r="A73" s="6" t="s">
        <v>193</v>
      </c>
      <c r="B73" s="6">
        <v>30</v>
      </c>
      <c r="C73" s="6">
        <v>48</v>
      </c>
      <c r="D73" s="6">
        <v>2</v>
      </c>
      <c r="E73" s="6">
        <v>18.89</v>
      </c>
      <c r="F73" s="6">
        <v>18.73</v>
      </c>
      <c r="G73" s="6">
        <v>18.670000000000002</v>
      </c>
      <c r="H73" s="6">
        <f t="shared" si="6"/>
        <v>18.763333333333335</v>
      </c>
      <c r="I73" s="6">
        <f t="shared" si="7"/>
        <v>0.11372481406154608</v>
      </c>
      <c r="K73" s="6">
        <v>10.725</v>
      </c>
      <c r="L73" s="6">
        <v>2.0499999999999998</v>
      </c>
      <c r="M73" s="6">
        <f t="shared" si="8"/>
        <v>707198.95935941313</v>
      </c>
      <c r="N73" s="6">
        <f t="shared" si="9"/>
        <v>1.4140292300568551E-6</v>
      </c>
      <c r="O73" s="6">
        <v>3.7544241112511674E-8</v>
      </c>
      <c r="P73" s="6">
        <f t="shared" si="10"/>
        <v>0.97413548686428764</v>
      </c>
    </row>
    <row r="74" spans="1:16" s="6" customFormat="1">
      <c r="A74" s="6" t="s">
        <v>194</v>
      </c>
      <c r="B74" s="6">
        <v>30</v>
      </c>
      <c r="C74" s="6">
        <v>48</v>
      </c>
      <c r="D74" s="6">
        <v>2</v>
      </c>
      <c r="E74" s="6">
        <v>17.73</v>
      </c>
      <c r="F74" s="6">
        <v>17.89</v>
      </c>
      <c r="G74" s="6">
        <v>17.82</v>
      </c>
      <c r="H74" s="6">
        <f t="shared" si="6"/>
        <v>17.813333333333336</v>
      </c>
      <c r="I74" s="6">
        <f t="shared" si="7"/>
        <v>8.0208062770106503E-2</v>
      </c>
      <c r="K74" s="6">
        <v>7.6812500000000004</v>
      </c>
      <c r="L74" s="6">
        <v>2.0499999999999998</v>
      </c>
      <c r="M74" s="6">
        <f t="shared" si="8"/>
        <v>357581.83189126401</v>
      </c>
      <c r="N74" s="6">
        <f t="shared" si="9"/>
        <v>2.7965626629042131E-6</v>
      </c>
      <c r="O74" s="6">
        <v>8.7130905570707084E-8</v>
      </c>
      <c r="P74" s="6">
        <f t="shared" si="10"/>
        <v>0.9697849637966951</v>
      </c>
    </row>
    <row r="75" spans="1:16" s="6" customFormat="1">
      <c r="A75" s="6" t="s">
        <v>161</v>
      </c>
      <c r="B75" s="6">
        <v>30</v>
      </c>
      <c r="C75" s="6">
        <v>48</v>
      </c>
      <c r="D75" s="6">
        <v>2</v>
      </c>
      <c r="E75" s="6">
        <v>17.05</v>
      </c>
      <c r="F75" s="6">
        <v>16.91</v>
      </c>
      <c r="G75" s="6">
        <v>17.149999999999999</v>
      </c>
      <c r="H75" s="6">
        <f t="shared" si="6"/>
        <v>17.036666666666665</v>
      </c>
      <c r="I75" s="6">
        <f t="shared" si="7"/>
        <v>0.12055427546683345</v>
      </c>
      <c r="K75" s="6">
        <v>12.3</v>
      </c>
      <c r="L75" s="6">
        <v>2.0499999999999998</v>
      </c>
      <c r="M75" s="6">
        <f t="shared" si="8"/>
        <v>204760.7034335846</v>
      </c>
      <c r="N75" s="6">
        <f t="shared" si="9"/>
        <v>4.883749582958217E-6</v>
      </c>
      <c r="O75" s="6">
        <v>3.6622352231460734E-8</v>
      </c>
      <c r="P75" s="6">
        <f t="shared" si="10"/>
        <v>0.99255699513901707</v>
      </c>
    </row>
    <row r="76" spans="1:16" s="6" customFormat="1">
      <c r="A76" s="6" t="s">
        <v>162</v>
      </c>
      <c r="B76" s="6">
        <v>30</v>
      </c>
      <c r="C76" s="6">
        <v>48</v>
      </c>
      <c r="D76" s="6">
        <v>3</v>
      </c>
      <c r="E76" s="6">
        <v>18.350000000000001</v>
      </c>
      <c r="F76" s="6">
        <v>18.3</v>
      </c>
      <c r="G76" s="6">
        <v>18.329999999999998</v>
      </c>
      <c r="H76" s="6">
        <f t="shared" si="6"/>
        <v>18.326666666666668</v>
      </c>
      <c r="I76" s="6">
        <f t="shared" si="7"/>
        <v>2.5166114784236002E-2</v>
      </c>
      <c r="K76" s="6">
        <v>15.525</v>
      </c>
      <c r="L76" s="6">
        <v>2.0499999999999998</v>
      </c>
      <c r="M76" s="6">
        <f t="shared" si="8"/>
        <v>516903.04865969444</v>
      </c>
      <c r="N76" s="6">
        <f t="shared" si="9"/>
        <v>1.9345987658477802E-6</v>
      </c>
      <c r="O76" s="6">
        <v>1.4116727302830074E-7</v>
      </c>
      <c r="P76" s="6">
        <f t="shared" si="10"/>
        <v>0.93199268588827311</v>
      </c>
    </row>
    <row r="77" spans="1:16" s="6" customFormat="1">
      <c r="A77" s="6" t="s">
        <v>163</v>
      </c>
      <c r="B77" s="6">
        <v>30</v>
      </c>
      <c r="C77" s="6">
        <v>48</v>
      </c>
      <c r="D77" s="6">
        <v>3</v>
      </c>
      <c r="E77" s="6">
        <v>18.190000000000001</v>
      </c>
      <c r="F77" s="6">
        <v>18.100000000000001</v>
      </c>
      <c r="G77" s="6">
        <v>18.100000000000001</v>
      </c>
      <c r="H77" s="6">
        <f t="shared" si="6"/>
        <v>18.130000000000003</v>
      </c>
      <c r="I77" s="6">
        <f t="shared" si="7"/>
        <v>5.1961524227066236E-2</v>
      </c>
      <c r="K77" s="6">
        <v>5.7249999999999996</v>
      </c>
      <c r="L77" s="6">
        <v>2.0499999999999998</v>
      </c>
      <c r="M77" s="6">
        <f t="shared" si="8"/>
        <v>448846.14647340187</v>
      </c>
      <c r="N77" s="6">
        <f t="shared" si="9"/>
        <v>2.2279349123458697E-6</v>
      </c>
      <c r="O77" s="6">
        <v>1.0103317952256404E-7</v>
      </c>
      <c r="P77" s="6">
        <f t="shared" si="10"/>
        <v>0.95661890780070358</v>
      </c>
    </row>
    <row r="78" spans="1:16" s="6" customFormat="1">
      <c r="A78" s="6" t="s">
        <v>65</v>
      </c>
      <c r="B78" s="6">
        <v>30</v>
      </c>
      <c r="C78" s="6">
        <v>48</v>
      </c>
      <c r="D78" s="6">
        <v>3</v>
      </c>
      <c r="E78" s="6">
        <v>19.3</v>
      </c>
      <c r="F78" s="6">
        <v>19.32</v>
      </c>
      <c r="G78" s="6">
        <v>19.39</v>
      </c>
      <c r="H78" s="6">
        <f t="shared" si="6"/>
        <v>19.33666666666667</v>
      </c>
      <c r="I78" s="6">
        <f t="shared" si="7"/>
        <v>4.725815626252608E-2</v>
      </c>
      <c r="K78" s="6">
        <v>5.59375</v>
      </c>
      <c r="L78" s="6">
        <v>2.0499999999999998</v>
      </c>
      <c r="M78" s="6">
        <f t="shared" si="8"/>
        <v>1067285.2151312465</v>
      </c>
      <c r="N78" s="6">
        <f t="shared" si="9"/>
        <v>9.3695666896034693E-7</v>
      </c>
      <c r="O78" s="6">
        <v>4.1563610298812699E-8</v>
      </c>
      <c r="P78" s="6">
        <f t="shared" si="10"/>
        <v>0.95752401745799209</v>
      </c>
    </row>
    <row r="79" spans="1:16">
      <c r="G79" t="s">
        <v>257</v>
      </c>
      <c r="H79">
        <f>AVERAGE(H2:H78)</f>
        <v>18.556796536796529</v>
      </c>
      <c r="O79" t="s">
        <v>132</v>
      </c>
      <c r="P79" s="23">
        <f>AVERAGE(P2:P78)</f>
        <v>0.96892224129536675</v>
      </c>
    </row>
    <row r="80" spans="1:16">
      <c r="G80" t="s">
        <v>135</v>
      </c>
      <c r="H80">
        <f>STDEV(H2:H78)</f>
        <v>1.3533968464007509</v>
      </c>
      <c r="O80" t="s">
        <v>135</v>
      </c>
      <c r="P80" s="23">
        <f>STDEV(P2:P78)</f>
        <v>1.8362860390311205E-2</v>
      </c>
    </row>
    <row r="81" spans="15:15">
      <c r="O81" t="s">
        <v>412</v>
      </c>
    </row>
  </sheetData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2"/>
  <sheetViews>
    <sheetView workbookViewId="0">
      <selection activeCell="A10" sqref="A10"/>
    </sheetView>
  </sheetViews>
  <sheetFormatPr baseColWidth="10" defaultRowHeight="13" x14ac:dyDescent="0"/>
  <cols>
    <col min="1" max="1" width="11" bestFit="1" customWidth="1"/>
    <col min="2" max="2" width="4.7109375" bestFit="1" customWidth="1"/>
    <col min="3" max="4" width="4.28515625" bestFit="1" customWidth="1"/>
    <col min="5" max="5" width="8.42578125" customWidth="1"/>
    <col min="6" max="6" width="6.140625" customWidth="1"/>
    <col min="7" max="7" width="6.85546875" bestFit="1" customWidth="1"/>
    <col min="8" max="8" width="6.5703125" customWidth="1"/>
    <col min="9" max="9" width="6" customWidth="1"/>
    <col min="10" max="10" width="16" bestFit="1" customWidth="1"/>
    <col min="11" max="11" width="7.7109375" customWidth="1"/>
    <col min="12" max="12" width="7.85546875" bestFit="1" customWidth="1"/>
    <col min="13" max="13" width="11.140625" customWidth="1"/>
    <col min="14" max="14" width="12.28515625" bestFit="1" customWidth="1"/>
    <col min="15" max="15" width="10.85546875" bestFit="1" customWidth="1"/>
    <col min="16" max="16" width="12.42578125" customWidth="1"/>
    <col min="17" max="17" width="7.140625" customWidth="1"/>
    <col min="18" max="18" width="17.140625" customWidth="1"/>
    <col min="19" max="22" width="10.85546875" bestFit="1" customWidth="1"/>
    <col min="25" max="28" width="26.42578125" bestFit="1" customWidth="1"/>
    <col min="29" max="29" width="26.7109375" bestFit="1" customWidth="1"/>
    <col min="30" max="30" width="26.140625" bestFit="1" customWidth="1"/>
    <col min="31" max="33" width="26.42578125" bestFit="1" customWidth="1"/>
    <col min="34" max="34" width="40.28515625" bestFit="1" customWidth="1"/>
  </cols>
  <sheetData>
    <row r="1" spans="1:35" ht="16" customHeight="1">
      <c r="A1" t="s">
        <v>287</v>
      </c>
      <c r="B1" t="s">
        <v>152</v>
      </c>
      <c r="C1" t="s">
        <v>250</v>
      </c>
      <c r="D1" t="s">
        <v>289</v>
      </c>
      <c r="E1" t="s">
        <v>99</v>
      </c>
      <c r="F1" t="s">
        <v>100</v>
      </c>
      <c r="G1" t="s">
        <v>101</v>
      </c>
      <c r="H1" t="s">
        <v>102</v>
      </c>
      <c r="I1" t="s">
        <v>103</v>
      </c>
      <c r="J1" t="s">
        <v>104</v>
      </c>
      <c r="K1" t="s">
        <v>4</v>
      </c>
      <c r="L1" t="s">
        <v>69</v>
      </c>
      <c r="M1" t="s">
        <v>411</v>
      </c>
      <c r="N1" t="s">
        <v>160</v>
      </c>
      <c r="O1" t="s">
        <v>195</v>
      </c>
      <c r="P1" t="s">
        <v>286</v>
      </c>
      <c r="W1" s="31" t="s">
        <v>453</v>
      </c>
      <c r="Y1" t="s">
        <v>257</v>
      </c>
      <c r="Z1" t="s">
        <v>135</v>
      </c>
      <c r="AA1" t="s">
        <v>136</v>
      </c>
    </row>
    <row r="2" spans="1:35" s="7" customFormat="1">
      <c r="A2" s="7" t="s">
        <v>266</v>
      </c>
      <c r="B2" s="7">
        <v>27</v>
      </c>
      <c r="C2" s="7">
        <v>0</v>
      </c>
      <c r="D2" s="7">
        <v>1</v>
      </c>
      <c r="E2" s="7">
        <v>22.95</v>
      </c>
      <c r="F2" s="7">
        <v>22.86</v>
      </c>
      <c r="G2" s="7">
        <v>22.71</v>
      </c>
      <c r="H2" s="7">
        <f>AVERAGE(E2:G2)</f>
        <v>22.840000000000003</v>
      </c>
      <c r="I2" s="7">
        <f>STDEV(E2:G2)</f>
        <v>0.12124355652982059</v>
      </c>
      <c r="J2" s="7" t="s">
        <v>73</v>
      </c>
      <c r="K2" s="7">
        <v>6.6875</v>
      </c>
      <c r="L2" s="7">
        <v>2.04</v>
      </c>
      <c r="M2" s="7">
        <f>1/(L2^H2)</f>
        <v>8.4731906048388898E-8</v>
      </c>
      <c r="N2" s="7">
        <v>5.2598564043021105E-6</v>
      </c>
      <c r="O2" s="7">
        <f>N2/M2</f>
        <v>62.076455606915054</v>
      </c>
      <c r="P2" s="7">
        <f>M2/(M2+N2)</f>
        <v>1.5853776030661595E-2</v>
      </c>
      <c r="W2" s="7">
        <v>27</v>
      </c>
      <c r="X2" s="7">
        <v>0</v>
      </c>
      <c r="Y2" s="7">
        <f>AVERAGE(P2:P3)</f>
        <v>2.3264472195706161E-2</v>
      </c>
      <c r="Z2" s="7">
        <f>STDEV(P2:P3)</f>
        <v>1.0480307023232296E-2</v>
      </c>
      <c r="AA2" s="7">
        <f>Z2/SQRT(2)</f>
        <v>7.4106961650445557E-3</v>
      </c>
    </row>
    <row r="3" spans="1:35" s="7" customFormat="1">
      <c r="A3" s="7" t="s">
        <v>267</v>
      </c>
      <c r="B3" s="7">
        <v>27</v>
      </c>
      <c r="C3" s="7">
        <v>0</v>
      </c>
      <c r="D3" s="7">
        <v>2</v>
      </c>
      <c r="E3" s="7">
        <v>22.75</v>
      </c>
      <c r="F3" s="7">
        <v>22.84</v>
      </c>
      <c r="G3" s="7">
        <v>22.68</v>
      </c>
      <c r="H3" s="7">
        <f t="shared" ref="H3:H64" si="0">AVERAGE(E3:G3)</f>
        <v>22.756666666666671</v>
      </c>
      <c r="I3" s="7">
        <f t="shared" ref="I3:I64" si="1">STDEV(E3:G3)</f>
        <v>8.0208062770106489E-2</v>
      </c>
      <c r="J3" s="7" t="s">
        <v>153</v>
      </c>
      <c r="K3" s="7">
        <v>5.2062499999999998</v>
      </c>
      <c r="L3" s="7">
        <v>2.04</v>
      </c>
      <c r="M3" s="7">
        <f t="shared" ref="M3:M64" si="2">1/(L3^H3)</f>
        <v>8.9918590367143527E-8</v>
      </c>
      <c r="N3" s="7">
        <v>2.8413967103239369E-6</v>
      </c>
      <c r="O3" s="7">
        <f t="shared" ref="O3:O64" si="3">N3/M3</f>
        <v>31.599658076514846</v>
      </c>
      <c r="P3" s="7">
        <f t="shared" ref="P3:P33" si="4">M3/(M3+N3)</f>
        <v>3.0675168360750724E-2</v>
      </c>
      <c r="R3" s="7" t="s">
        <v>290</v>
      </c>
      <c r="W3" s="7">
        <v>27</v>
      </c>
      <c r="X3" s="7">
        <v>6</v>
      </c>
      <c r="Y3" s="7">
        <f>AVERAGE(P10:P18)</f>
        <v>1.4700378417454998E-2</v>
      </c>
      <c r="Z3" s="7">
        <f>STDEV(P10:P18)</f>
        <v>5.9939373310172739E-3</v>
      </c>
      <c r="AA3" s="7">
        <f>Z3/3</f>
        <v>1.9979791103390912E-3</v>
      </c>
      <c r="AB3"/>
      <c r="AC3"/>
      <c r="AD3"/>
      <c r="AE3"/>
      <c r="AF3"/>
      <c r="AG3"/>
      <c r="AH3"/>
      <c r="AI3"/>
    </row>
    <row r="4" spans="1:35" s="6" customFormat="1">
      <c r="A4" s="6" t="s">
        <v>219</v>
      </c>
      <c r="B4" s="6">
        <v>30</v>
      </c>
      <c r="C4" s="6">
        <v>0</v>
      </c>
      <c r="D4" s="6">
        <v>2</v>
      </c>
      <c r="E4" s="6">
        <v>23.38</v>
      </c>
      <c r="F4" s="6">
        <v>23.42</v>
      </c>
      <c r="G4" s="6">
        <v>23.31</v>
      </c>
      <c r="H4" s="6">
        <f t="shared" si="0"/>
        <v>23.37</v>
      </c>
      <c r="I4" s="6">
        <f t="shared" si="1"/>
        <v>5.5677643628301583E-2</v>
      </c>
      <c r="J4" s="6" t="s">
        <v>74</v>
      </c>
      <c r="K4" s="6">
        <v>4.4000000000000004</v>
      </c>
      <c r="L4" s="6">
        <v>2.04</v>
      </c>
      <c r="M4" s="6">
        <f t="shared" si="2"/>
        <v>5.8068818169342801E-8</v>
      </c>
      <c r="N4" s="6">
        <v>4.7999145754041842E-6</v>
      </c>
      <c r="O4" s="6">
        <f t="shared" si="3"/>
        <v>82.65907119732428</v>
      </c>
      <c r="P4" s="6">
        <f t="shared" si="4"/>
        <v>1.1953276383398142E-2</v>
      </c>
      <c r="R4" s="6" t="s">
        <v>304</v>
      </c>
      <c r="W4" s="7">
        <v>27</v>
      </c>
      <c r="X4" s="7">
        <v>12</v>
      </c>
      <c r="Y4" s="7">
        <f>AVERAGE(P27:P35)</f>
        <v>4.0879722883416868E-2</v>
      </c>
      <c r="Z4" s="7">
        <f>STDEV(P27:P35)</f>
        <v>2.5066345079236451E-2</v>
      </c>
      <c r="AA4" s="7">
        <f>Z4/3</f>
        <v>8.3554483597454831E-3</v>
      </c>
      <c r="AB4"/>
      <c r="AC4"/>
      <c r="AD4"/>
      <c r="AE4"/>
      <c r="AF4"/>
      <c r="AG4"/>
      <c r="AH4"/>
      <c r="AI4"/>
    </row>
    <row r="5" spans="1:35" s="6" customFormat="1">
      <c r="A5" s="6" t="s">
        <v>220</v>
      </c>
      <c r="B5" s="6">
        <v>30</v>
      </c>
      <c r="C5" s="6">
        <v>0</v>
      </c>
      <c r="D5" s="6">
        <v>2</v>
      </c>
      <c r="E5" s="6">
        <v>22.05</v>
      </c>
      <c r="F5" s="6">
        <v>22.15</v>
      </c>
      <c r="G5" s="6">
        <v>22.21</v>
      </c>
      <c r="H5" s="6">
        <f t="shared" si="0"/>
        <v>22.136666666666667</v>
      </c>
      <c r="I5" s="6">
        <f t="shared" si="1"/>
        <v>8.0829037686547492E-2</v>
      </c>
      <c r="J5" s="6" t="s">
        <v>75</v>
      </c>
      <c r="K5" s="6">
        <v>3.8937499999999998</v>
      </c>
      <c r="L5" s="6">
        <v>2.04</v>
      </c>
      <c r="M5" s="6">
        <f t="shared" si="2"/>
        <v>1.3990079864939394E-7</v>
      </c>
      <c r="N5" s="6">
        <v>2.2078893931571069E-6</v>
      </c>
      <c r="O5" s="6">
        <f t="shared" si="3"/>
        <v>15.781821222409953</v>
      </c>
      <c r="P5" s="6">
        <f t="shared" si="4"/>
        <v>5.9588288228492707E-2</v>
      </c>
      <c r="R5" s="6" t="s">
        <v>291</v>
      </c>
      <c r="S5" s="6" t="s">
        <v>292</v>
      </c>
      <c r="U5" s="6" t="s">
        <v>293</v>
      </c>
      <c r="W5" s="7">
        <v>27</v>
      </c>
      <c r="X5" s="7">
        <v>24</v>
      </c>
      <c r="Y5" s="7">
        <f>AVERAGE(P44:P52)</f>
        <v>3.7578736535531995E-2</v>
      </c>
      <c r="Z5" s="7">
        <f>STDEV(P44:P52)</f>
        <v>1.6110168509501751E-2</v>
      </c>
      <c r="AA5" s="7">
        <f>Z5/3</f>
        <v>5.3700561698339167E-3</v>
      </c>
      <c r="AB5"/>
      <c r="AC5"/>
      <c r="AD5"/>
      <c r="AE5"/>
      <c r="AF5"/>
      <c r="AG5"/>
      <c r="AH5"/>
      <c r="AI5"/>
    </row>
    <row r="6" spans="1:35" s="6" customFormat="1">
      <c r="A6" s="6" t="s">
        <v>221</v>
      </c>
      <c r="B6" s="6">
        <v>30</v>
      </c>
      <c r="C6" s="6">
        <v>0</v>
      </c>
      <c r="D6" s="6">
        <v>2</v>
      </c>
      <c r="E6" s="6" t="s">
        <v>31</v>
      </c>
      <c r="F6" s="6">
        <v>22.12</v>
      </c>
      <c r="G6" s="6">
        <v>22.13</v>
      </c>
      <c r="H6" s="6">
        <f t="shared" si="0"/>
        <v>22.125</v>
      </c>
      <c r="I6" s="6">
        <f t="shared" si="1"/>
        <v>7.0710678118640685E-3</v>
      </c>
      <c r="J6" s="6" t="s">
        <v>76</v>
      </c>
      <c r="K6" s="6">
        <v>3.5375000000000001</v>
      </c>
      <c r="L6" s="6">
        <v>2.04</v>
      </c>
      <c r="M6" s="6">
        <f t="shared" si="2"/>
        <v>1.4106931116297072E-7</v>
      </c>
      <c r="N6" s="6">
        <v>1.7071615640932459E-6</v>
      </c>
      <c r="O6" s="6">
        <f t="shared" si="3"/>
        <v>12.101580067411279</v>
      </c>
      <c r="P6" s="6">
        <f t="shared" si="4"/>
        <v>7.6326671657519274E-2</v>
      </c>
      <c r="R6" s="6" t="s">
        <v>294</v>
      </c>
      <c r="S6" s="6">
        <v>0.34345984000000002</v>
      </c>
      <c r="U6" s="6">
        <v>0.15418235999999999</v>
      </c>
      <c r="W6" s="7">
        <v>27</v>
      </c>
      <c r="X6" s="7">
        <v>48</v>
      </c>
      <c r="Y6" s="7">
        <f>AVERAGE(P61:P69)</f>
        <v>2.5980086395534074E-2</v>
      </c>
      <c r="Z6" s="7">
        <f>STDEV(P61:P69)</f>
        <v>8.3213776193430417E-3</v>
      </c>
      <c r="AA6" s="7">
        <f>Z6/3</f>
        <v>2.7737925397810139E-3</v>
      </c>
      <c r="AB6"/>
      <c r="AC6"/>
      <c r="AD6"/>
      <c r="AE6"/>
      <c r="AF6"/>
      <c r="AG6"/>
      <c r="AH6"/>
      <c r="AI6"/>
    </row>
    <row r="7" spans="1:35" s="6" customFormat="1">
      <c r="A7" s="6" t="s">
        <v>222</v>
      </c>
      <c r="B7" s="6">
        <v>30</v>
      </c>
      <c r="C7" s="6">
        <v>0</v>
      </c>
      <c r="D7" s="6">
        <v>3</v>
      </c>
      <c r="E7" s="6">
        <v>21.45</v>
      </c>
      <c r="F7" s="6">
        <v>21.35</v>
      </c>
      <c r="G7" s="6">
        <v>21.32</v>
      </c>
      <c r="H7" s="6">
        <f t="shared" si="0"/>
        <v>21.373333333333335</v>
      </c>
      <c r="I7" s="6">
        <f t="shared" si="1"/>
        <v>6.8068592855539706E-2</v>
      </c>
      <c r="J7" s="6">
        <v>0.14252339999999999</v>
      </c>
      <c r="K7" s="6">
        <v>3.875</v>
      </c>
      <c r="L7" s="6">
        <v>2.04</v>
      </c>
      <c r="M7" s="6">
        <f t="shared" si="2"/>
        <v>2.4108557264949663E-7</v>
      </c>
      <c r="N7" s="6">
        <v>3.7761502798064191E-6</v>
      </c>
      <c r="O7" s="6">
        <f t="shared" si="3"/>
        <v>15.66311180842162</v>
      </c>
      <c r="P7" s="6">
        <f t="shared" si="4"/>
        <v>6.0012800219860191E-2</v>
      </c>
      <c r="R7" s="6" t="s">
        <v>295</v>
      </c>
      <c r="S7" s="6">
        <v>0.53966243999999997</v>
      </c>
      <c r="U7" s="6">
        <v>7.2682259999999999E-2</v>
      </c>
      <c r="W7" s="6">
        <v>30</v>
      </c>
      <c r="X7" s="6">
        <v>0</v>
      </c>
      <c r="Y7" s="6">
        <f>AVERAGE(P4:P9)</f>
        <v>4.5208257397877059E-2</v>
      </c>
      <c r="Z7" s="6">
        <f>STDEV(P4:P9)</f>
        <v>2.6129078313915779E-2</v>
      </c>
      <c r="AA7" s="6">
        <f>Z7/SQRT(6)</f>
        <v>1.0667151553052513E-2</v>
      </c>
      <c r="AB7"/>
      <c r="AC7"/>
      <c r="AD7"/>
      <c r="AE7"/>
      <c r="AF7"/>
      <c r="AG7"/>
      <c r="AH7"/>
      <c r="AI7"/>
    </row>
    <row r="8" spans="1:35" s="6" customFormat="1">
      <c r="A8" s="6" t="s">
        <v>223</v>
      </c>
      <c r="B8" s="6">
        <v>30</v>
      </c>
      <c r="C8" s="6">
        <v>0</v>
      </c>
      <c r="D8" s="6">
        <v>3</v>
      </c>
      <c r="E8" s="6">
        <v>22.99</v>
      </c>
      <c r="F8" s="6">
        <v>23.03</v>
      </c>
      <c r="G8" s="6">
        <v>23.01</v>
      </c>
      <c r="H8" s="6">
        <f t="shared" si="0"/>
        <v>23.01</v>
      </c>
      <c r="I8" s="6">
        <f t="shared" si="1"/>
        <v>2.000000000000135E-2</v>
      </c>
      <c r="K8" s="6">
        <v>10.925000000000001</v>
      </c>
      <c r="L8" s="6">
        <v>2.04</v>
      </c>
      <c r="M8" s="6">
        <f t="shared" si="2"/>
        <v>7.5060222513455302E-8</v>
      </c>
      <c r="N8" s="6">
        <v>4.8837335171496486E-6</v>
      </c>
      <c r="O8" s="6">
        <f t="shared" si="3"/>
        <v>65.06420249785684</v>
      </c>
      <c r="P8" s="6">
        <f t="shared" si="4"/>
        <v>1.5136790609595878E-2</v>
      </c>
      <c r="R8" s="6" t="s">
        <v>296</v>
      </c>
      <c r="S8" s="6">
        <v>0.54475037999999998</v>
      </c>
      <c r="U8" s="6">
        <v>7.2682259999999999E-2</v>
      </c>
      <c r="W8" s="6">
        <v>30</v>
      </c>
      <c r="X8" s="6">
        <v>6</v>
      </c>
      <c r="Y8" s="6">
        <f>AVERAGE(P19:P26)</f>
        <v>1.5601827333658164E-2</v>
      </c>
      <c r="Z8" s="6">
        <f>STDEV(P19:P26)</f>
        <v>5.9256168402300096E-3</v>
      </c>
      <c r="AA8" s="6">
        <f>Z8/SQRT(8)</f>
        <v>2.0950219252199209E-3</v>
      </c>
      <c r="AB8"/>
      <c r="AC8"/>
      <c r="AD8"/>
      <c r="AE8"/>
      <c r="AF8"/>
      <c r="AG8"/>
      <c r="AH8"/>
      <c r="AI8"/>
    </row>
    <row r="9" spans="1:35" s="6" customFormat="1">
      <c r="A9" s="6" t="s">
        <v>224</v>
      </c>
      <c r="B9" s="6">
        <v>30</v>
      </c>
      <c r="C9" s="6">
        <v>0</v>
      </c>
      <c r="D9" s="6">
        <v>3</v>
      </c>
      <c r="E9" s="6">
        <v>22.95</v>
      </c>
      <c r="F9" s="6">
        <v>22.98</v>
      </c>
      <c r="G9" s="6">
        <v>22.95</v>
      </c>
      <c r="H9" s="6">
        <f t="shared" si="0"/>
        <v>22.959999999999997</v>
      </c>
      <c r="I9" s="6">
        <f t="shared" si="1"/>
        <v>1.7320508075689432E-2</v>
      </c>
      <c r="K9" s="6">
        <v>2.5499999999999998</v>
      </c>
      <c r="L9" s="6">
        <v>2.04</v>
      </c>
      <c r="M9" s="6">
        <f t="shared" si="2"/>
        <v>7.7784193998393793E-8</v>
      </c>
      <c r="N9" s="6">
        <v>1.534934539056287E-6</v>
      </c>
      <c r="O9" s="6">
        <f t="shared" si="3"/>
        <v>19.733244765485164</v>
      </c>
      <c r="P9" s="6">
        <f t="shared" si="4"/>
        <v>4.8231717288396155E-2</v>
      </c>
      <c r="R9" s="6" t="s">
        <v>297</v>
      </c>
      <c r="S9" s="6">
        <v>0.39843496</v>
      </c>
      <c r="U9" s="6">
        <v>7.2682259999999999E-2</v>
      </c>
      <c r="W9" s="6">
        <v>30</v>
      </c>
      <c r="X9" s="6">
        <v>12</v>
      </c>
      <c r="Y9" s="6">
        <f>AVERAGE(P36:P43)</f>
        <v>3.7579385496840374E-2</v>
      </c>
      <c r="Z9" s="6">
        <f>STDEV(P36:P43)</f>
        <v>1.2187737246554553E-2</v>
      </c>
      <c r="AA9" s="6">
        <f>Z9/SQRT(8)</f>
        <v>4.3090158271792923E-3</v>
      </c>
      <c r="AB9"/>
      <c r="AC9"/>
      <c r="AD9"/>
      <c r="AE9"/>
      <c r="AF9"/>
      <c r="AG9"/>
      <c r="AH9"/>
      <c r="AI9"/>
    </row>
    <row r="10" spans="1:35" s="7" customFormat="1">
      <c r="A10" s="7" t="s">
        <v>225</v>
      </c>
      <c r="B10" s="7">
        <v>27</v>
      </c>
      <c r="C10" s="7">
        <v>6</v>
      </c>
      <c r="D10" s="7">
        <v>1</v>
      </c>
      <c r="E10" s="7">
        <v>24.08</v>
      </c>
      <c r="F10" s="7">
        <v>24</v>
      </c>
      <c r="G10" s="7">
        <v>23.94</v>
      </c>
      <c r="H10" s="7">
        <f t="shared" si="0"/>
        <v>24.006666666666664</v>
      </c>
      <c r="I10" s="7">
        <f t="shared" si="1"/>
        <v>7.0237691685683432E-2</v>
      </c>
      <c r="K10" s="7">
        <v>1.2250000000000001</v>
      </c>
      <c r="L10" s="7">
        <v>2.04</v>
      </c>
      <c r="M10" s="7">
        <f t="shared" si="2"/>
        <v>3.6881772163160839E-8</v>
      </c>
      <c r="N10" s="7">
        <v>1.8340977978416093E-6</v>
      </c>
      <c r="O10" s="7">
        <f t="shared" si="3"/>
        <v>49.729112520075383</v>
      </c>
      <c r="P10" s="7">
        <f t="shared" si="4"/>
        <v>1.9712546707854651E-2</v>
      </c>
      <c r="R10" s="7" t="s">
        <v>298</v>
      </c>
      <c r="S10" s="7">
        <v>0.13583506000000001</v>
      </c>
      <c r="U10" s="7">
        <v>7.2682259999999999E-2</v>
      </c>
      <c r="W10" s="6">
        <v>30</v>
      </c>
      <c r="X10" s="6">
        <v>24</v>
      </c>
      <c r="Y10" s="6">
        <f>AVERAGE(P53:P60)</f>
        <v>3.6004897443054247E-2</v>
      </c>
      <c r="Z10" s="6">
        <f>STDEV(P53:P60)</f>
        <v>1.9965149890944753E-2</v>
      </c>
      <c r="AA10" s="6">
        <f>Z10/SQRT(8)</f>
        <v>7.0587464376464472E-3</v>
      </c>
      <c r="AB10"/>
      <c r="AC10"/>
      <c r="AD10"/>
      <c r="AE10"/>
      <c r="AF10"/>
      <c r="AG10"/>
      <c r="AH10"/>
      <c r="AI10"/>
    </row>
    <row r="11" spans="1:35" s="7" customFormat="1">
      <c r="A11" s="7" t="s">
        <v>226</v>
      </c>
      <c r="B11" s="7">
        <v>27</v>
      </c>
      <c r="C11" s="7">
        <v>6</v>
      </c>
      <c r="D11" s="7">
        <v>1</v>
      </c>
      <c r="E11" s="7">
        <v>23.56</v>
      </c>
      <c r="F11" s="7">
        <v>23.63</v>
      </c>
      <c r="G11" s="7">
        <v>23.55</v>
      </c>
      <c r="H11" s="7">
        <f t="shared" si="0"/>
        <v>23.58</v>
      </c>
      <c r="I11" s="7">
        <f t="shared" si="1"/>
        <v>4.3588989435406213E-2</v>
      </c>
      <c r="K11" s="7">
        <v>3.1124999999999998</v>
      </c>
      <c r="L11" s="7">
        <v>2.04</v>
      </c>
      <c r="M11" s="7">
        <f t="shared" si="2"/>
        <v>4.9994318436367942E-8</v>
      </c>
      <c r="N11" s="7">
        <v>1.9462563072444028E-6</v>
      </c>
      <c r="O11" s="7">
        <f t="shared" si="3"/>
        <v>38.929549759170541</v>
      </c>
      <c r="P11" s="7">
        <f t="shared" si="4"/>
        <v>2.5044109087915073E-2</v>
      </c>
      <c r="Q11" s="7">
        <f>AVERAGE(P13:P15)</f>
        <v>1.1437809131157772E-2</v>
      </c>
      <c r="R11" s="7" t="s">
        <v>299</v>
      </c>
      <c r="S11" s="7">
        <v>0.56282244000000003</v>
      </c>
      <c r="U11" s="7">
        <v>8.9017230000000003E-2</v>
      </c>
      <c r="W11" s="6">
        <v>30</v>
      </c>
      <c r="X11" s="6">
        <v>48</v>
      </c>
      <c r="Y11" s="6">
        <f>AVERAGE(P70:P78)</f>
        <v>3.2163303466912235E-2</v>
      </c>
      <c r="Z11" s="6">
        <f>STDEV(P70:P78)</f>
        <v>1.7360770583807496E-2</v>
      </c>
      <c r="AA11" s="6">
        <f>Z11/3</f>
        <v>5.7869235279358324E-3</v>
      </c>
      <c r="AB11"/>
      <c r="AC11"/>
      <c r="AD11"/>
      <c r="AE11"/>
      <c r="AF11"/>
      <c r="AG11"/>
      <c r="AH11"/>
      <c r="AI11"/>
    </row>
    <row r="12" spans="1:35" s="7" customFormat="1">
      <c r="A12" s="7" t="s">
        <v>55</v>
      </c>
      <c r="B12" s="7">
        <v>27</v>
      </c>
      <c r="C12" s="7">
        <v>6</v>
      </c>
      <c r="D12" s="7">
        <v>1</v>
      </c>
      <c r="E12" s="7">
        <v>24.14</v>
      </c>
      <c r="F12" s="7">
        <v>24.2</v>
      </c>
      <c r="G12" s="7">
        <v>24.35</v>
      </c>
      <c r="H12" s="7">
        <f t="shared" si="0"/>
        <v>24.23</v>
      </c>
      <c r="I12" s="7">
        <f t="shared" si="1"/>
        <v>0.10816653826392034</v>
      </c>
      <c r="K12" s="7">
        <v>2.2625000000000002</v>
      </c>
      <c r="L12" s="7">
        <v>2.04</v>
      </c>
      <c r="M12" s="7">
        <f t="shared" si="2"/>
        <v>3.1452925283115723E-8</v>
      </c>
      <c r="N12" s="7">
        <v>1.4287031212620021E-6</v>
      </c>
      <c r="O12" s="7">
        <f t="shared" si="3"/>
        <v>45.423537187777754</v>
      </c>
      <c r="P12" s="7">
        <f t="shared" si="4"/>
        <v>2.1540797202830916E-2</v>
      </c>
      <c r="R12" s="7" t="s">
        <v>300</v>
      </c>
      <c r="S12" s="7">
        <v>0.55510813000000003</v>
      </c>
      <c r="U12" s="7">
        <v>7.7091179999999995E-2</v>
      </c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7" customFormat="1" ht="14" thickBot="1">
      <c r="A13" s="7" t="s">
        <v>56</v>
      </c>
      <c r="B13" s="7">
        <v>27</v>
      </c>
      <c r="C13" s="7">
        <v>6</v>
      </c>
      <c r="D13" s="7">
        <v>2</v>
      </c>
      <c r="E13" s="7">
        <v>23.3</v>
      </c>
      <c r="F13" s="7">
        <v>23.4</v>
      </c>
      <c r="G13" s="7">
        <v>23.46</v>
      </c>
      <c r="H13" s="7">
        <f t="shared" si="0"/>
        <v>23.386666666666667</v>
      </c>
      <c r="I13" s="7">
        <f t="shared" si="1"/>
        <v>8.0829037686547492E-2</v>
      </c>
      <c r="K13" s="7">
        <v>10.0625</v>
      </c>
      <c r="L13" s="7">
        <v>2.04</v>
      </c>
      <c r="M13" s="7">
        <f t="shared" si="2"/>
        <v>5.7382898910708119E-8</v>
      </c>
      <c r="N13" s="7">
        <v>4.1998524718121897E-6</v>
      </c>
      <c r="O13" s="7">
        <f t="shared" si="3"/>
        <v>73.189966898456277</v>
      </c>
      <c r="P13" s="7">
        <f t="shared" si="4"/>
        <v>1.347891152679309E-2</v>
      </c>
      <c r="R13" s="7" t="s">
        <v>301</v>
      </c>
      <c r="S13" s="7">
        <v>0.49509035000000001</v>
      </c>
      <c r="U13" s="7">
        <v>7.7091179999999995E-2</v>
      </c>
      <c r="V13" s="7" t="s">
        <v>248</v>
      </c>
      <c r="X13"/>
      <c r="Y13"/>
      <c r="Z13"/>
      <c r="AA13"/>
      <c r="AB13"/>
      <c r="AC13"/>
      <c r="AD13"/>
      <c r="AE13"/>
      <c r="AF13"/>
      <c r="AG13"/>
      <c r="AH13"/>
      <c r="AI13"/>
    </row>
    <row r="14" spans="1:35" s="7" customFormat="1">
      <c r="A14" s="7" t="s">
        <v>57</v>
      </c>
      <c r="B14" s="7">
        <v>27</v>
      </c>
      <c r="C14" s="7">
        <v>6</v>
      </c>
      <c r="D14" s="7">
        <v>2</v>
      </c>
      <c r="E14" s="7">
        <v>24.45</v>
      </c>
      <c r="F14" s="7">
        <v>24.34</v>
      </c>
      <c r="G14" s="7">
        <v>24.42</v>
      </c>
      <c r="H14" s="7">
        <f t="shared" si="0"/>
        <v>24.403333333333336</v>
      </c>
      <c r="I14" s="7">
        <f t="shared" si="1"/>
        <v>5.6862407030773311E-2</v>
      </c>
      <c r="K14" s="7">
        <v>8.7624999999999993</v>
      </c>
      <c r="L14" s="7">
        <v>2.04</v>
      </c>
      <c r="M14" s="7">
        <f t="shared" si="2"/>
        <v>2.7796608751445118E-8</v>
      </c>
      <c r="N14" s="7">
        <v>2.2913333584422389E-6</v>
      </c>
      <c r="O14" s="7">
        <f t="shared" si="3"/>
        <v>82.432118929727892</v>
      </c>
      <c r="P14" s="7">
        <f t="shared" si="4"/>
        <v>1.1985791717003699E-2</v>
      </c>
      <c r="R14" s="7" t="s">
        <v>302</v>
      </c>
      <c r="S14" s="7">
        <v>0.44315141000000002</v>
      </c>
      <c r="U14" s="7">
        <v>7.2682259999999999E-2</v>
      </c>
      <c r="V14" s="7">
        <f>AVERAGE(Q14:U14)</f>
        <v>0.25791683500000001</v>
      </c>
      <c r="X14" s="8" t="s">
        <v>314</v>
      </c>
      <c r="Y14" s="8"/>
      <c r="Z14" s="8"/>
      <c r="AA14" s="8"/>
      <c r="AB14" s="8"/>
      <c r="AC14" s="8"/>
    </row>
    <row r="15" spans="1:35" s="7" customFormat="1">
      <c r="A15" s="7" t="s">
        <v>58</v>
      </c>
      <c r="B15" s="7">
        <v>27</v>
      </c>
      <c r="C15" s="7">
        <v>6</v>
      </c>
      <c r="D15" s="7">
        <v>2</v>
      </c>
      <c r="E15" s="7">
        <v>26.23</v>
      </c>
      <c r="F15" s="7">
        <v>26.23</v>
      </c>
      <c r="G15" s="7">
        <v>26.13</v>
      </c>
      <c r="H15" s="7">
        <f t="shared" si="0"/>
        <v>26.196666666666669</v>
      </c>
      <c r="I15" s="7">
        <f t="shared" si="1"/>
        <v>5.77350269189634E-2</v>
      </c>
      <c r="K15" s="7">
        <v>9</v>
      </c>
      <c r="L15" s="7">
        <v>2.04</v>
      </c>
      <c r="M15" s="7">
        <f t="shared" si="2"/>
        <v>7.7396569930439371E-9</v>
      </c>
      <c r="N15" s="7">
        <v>8.6692395124327641E-7</v>
      </c>
      <c r="O15" s="7">
        <f t="shared" si="3"/>
        <v>112.01064233498067</v>
      </c>
      <c r="P15" s="7">
        <f t="shared" si="4"/>
        <v>8.8487241496765269E-3</v>
      </c>
      <c r="R15" s="7" t="s">
        <v>303</v>
      </c>
      <c r="S15" s="7">
        <v>0.16110922999999999</v>
      </c>
      <c r="U15" s="7">
        <v>7.7091179999999995E-2</v>
      </c>
      <c r="V15" s="7">
        <f>AVERAGE(Q15:U15)</f>
        <v>0.11910020499999999</v>
      </c>
      <c r="X15" s="9" t="s">
        <v>315</v>
      </c>
      <c r="Y15" s="9"/>
      <c r="Z15" s="9"/>
      <c r="AA15" s="9"/>
      <c r="AB15" s="9"/>
      <c r="AC15" s="9"/>
    </row>
    <row r="16" spans="1:35" s="7" customFormat="1">
      <c r="A16" s="7" t="s">
        <v>59</v>
      </c>
      <c r="B16" s="7">
        <v>27</v>
      </c>
      <c r="C16" s="7">
        <v>6</v>
      </c>
      <c r="D16" s="7">
        <v>3</v>
      </c>
      <c r="E16" s="7">
        <v>23.68</v>
      </c>
      <c r="F16" s="7">
        <v>23.74</v>
      </c>
      <c r="G16" s="7">
        <v>23.87</v>
      </c>
      <c r="H16" s="7">
        <f t="shared" si="0"/>
        <v>23.763333333333335</v>
      </c>
      <c r="I16" s="7">
        <f t="shared" si="1"/>
        <v>9.7125348562223962E-2</v>
      </c>
      <c r="K16" s="7">
        <v>4.5999999999999996</v>
      </c>
      <c r="L16" s="7">
        <v>2.04</v>
      </c>
      <c r="M16" s="7">
        <f t="shared" si="2"/>
        <v>4.3868736024680279E-8</v>
      </c>
      <c r="N16" s="7">
        <v>3.4802075689186975E-6</v>
      </c>
      <c r="O16" s="7">
        <f t="shared" si="3"/>
        <v>79.332296398071605</v>
      </c>
      <c r="P16" s="7">
        <f t="shared" si="4"/>
        <v>1.2448293461507534E-2</v>
      </c>
      <c r="V16" s="7" t="e">
        <f>AVERAGE(Q16:U16)</f>
        <v>#DIV/0!</v>
      </c>
      <c r="X16" s="9" t="s">
        <v>316</v>
      </c>
      <c r="Y16" s="9"/>
      <c r="Z16" s="9"/>
      <c r="AA16" s="9"/>
      <c r="AB16" s="9"/>
      <c r="AC16" s="9"/>
    </row>
    <row r="17" spans="1:34" s="7" customFormat="1">
      <c r="A17" s="7" t="s">
        <v>182</v>
      </c>
      <c r="B17" s="7">
        <v>27</v>
      </c>
      <c r="C17" s="7">
        <v>6</v>
      </c>
      <c r="D17" s="7">
        <v>3</v>
      </c>
      <c r="E17" s="7">
        <v>24.82</v>
      </c>
      <c r="F17" s="7">
        <v>24.95</v>
      </c>
      <c r="G17" s="7">
        <v>25.28</v>
      </c>
      <c r="H17" s="7">
        <f t="shared" si="0"/>
        <v>25.016666666666666</v>
      </c>
      <c r="I17" s="10">
        <f t="shared" si="1"/>
        <v>0.23713568549109942</v>
      </c>
      <c r="K17" s="7">
        <v>8.7437500000000004</v>
      </c>
      <c r="L17" s="7">
        <v>2.04</v>
      </c>
      <c r="M17" s="7">
        <f t="shared" si="2"/>
        <v>1.7950862137868117E-8</v>
      </c>
      <c r="N17" s="7">
        <v>2.3661981689213864E-6</v>
      </c>
      <c r="O17" s="7">
        <f t="shared" si="3"/>
        <v>131.81529392562095</v>
      </c>
      <c r="P17" s="7">
        <f t="shared" si="4"/>
        <v>7.5292533746905586E-3</v>
      </c>
      <c r="X17" s="9" t="s">
        <v>317</v>
      </c>
      <c r="Y17" s="9"/>
      <c r="Z17" s="9"/>
      <c r="AA17" s="9"/>
      <c r="AB17" s="9"/>
      <c r="AC17" s="9"/>
    </row>
    <row r="18" spans="1:34" s="7" customFormat="1">
      <c r="A18" s="7" t="s">
        <v>183</v>
      </c>
      <c r="B18" s="7">
        <v>27</v>
      </c>
      <c r="C18" s="7">
        <v>6</v>
      </c>
      <c r="D18" s="7">
        <v>3</v>
      </c>
      <c r="E18" s="7">
        <v>24.32</v>
      </c>
      <c r="F18" s="7">
        <v>24.41</v>
      </c>
      <c r="G18" s="7">
        <v>24.39</v>
      </c>
      <c r="H18" s="7">
        <f t="shared" si="0"/>
        <v>24.373333333333335</v>
      </c>
      <c r="I18" s="7">
        <f t="shared" si="1"/>
        <v>4.725815626252608E-2</v>
      </c>
      <c r="K18" s="7">
        <v>6.0125000000000002</v>
      </c>
      <c r="L18" s="7">
        <v>2.04</v>
      </c>
      <c r="M18" s="7">
        <f t="shared" si="2"/>
        <v>2.8397539955585589E-8</v>
      </c>
      <c r="N18" s="7">
        <v>2.395639336058978E-6</v>
      </c>
      <c r="O18" s="7">
        <f t="shared" si="3"/>
        <v>84.360805189668312</v>
      </c>
      <c r="P18" s="7">
        <f t="shared" si="4"/>
        <v>1.1714978528822917E-2</v>
      </c>
      <c r="S18" s="7" t="s">
        <v>440</v>
      </c>
      <c r="T18" s="7" t="s">
        <v>444</v>
      </c>
      <c r="U18" s="7" t="s">
        <v>431</v>
      </c>
      <c r="V18" s="7" t="s">
        <v>448</v>
      </c>
      <c r="W18" s="7" t="s">
        <v>449</v>
      </c>
      <c r="X18" s="9"/>
      <c r="Y18" s="9"/>
      <c r="Z18" s="9"/>
      <c r="AA18" s="9"/>
      <c r="AB18" s="9"/>
      <c r="AC18" s="9"/>
    </row>
    <row r="19" spans="1:34" s="6" customFormat="1">
      <c r="A19" s="6" t="s">
        <v>184</v>
      </c>
      <c r="B19" s="6">
        <v>30</v>
      </c>
      <c r="C19" s="6">
        <v>6</v>
      </c>
      <c r="D19" s="6">
        <v>1</v>
      </c>
      <c r="E19" s="6">
        <v>23.61</v>
      </c>
      <c r="F19" s="6">
        <v>23.7</v>
      </c>
      <c r="G19" s="6">
        <v>23.89</v>
      </c>
      <c r="H19" s="6">
        <f t="shared" si="0"/>
        <v>23.733333333333334</v>
      </c>
      <c r="I19" s="6">
        <f t="shared" si="1"/>
        <v>0.14294521094927776</v>
      </c>
      <c r="K19" s="6">
        <v>8.1062499999999993</v>
      </c>
      <c r="L19" s="6">
        <v>2.04</v>
      </c>
      <c r="M19" s="6">
        <f t="shared" si="2"/>
        <v>4.4817128420283598E-8</v>
      </c>
      <c r="N19" s="6">
        <v>1.8569183631358365E-6</v>
      </c>
      <c r="O19" s="6">
        <f t="shared" si="3"/>
        <v>41.433229405555167</v>
      </c>
      <c r="P19" s="6">
        <f t="shared" si="4"/>
        <v>2.3566436352098256E-2</v>
      </c>
      <c r="R19" s="6" t="s">
        <v>441</v>
      </c>
      <c r="S19" s="6">
        <f>AVERAGE(O2:O3)</f>
        <v>46.838056841714952</v>
      </c>
      <c r="T19" s="6">
        <f>STDEV(O2:O9)/SQRT(8)</f>
        <v>9.7691868700209632</v>
      </c>
      <c r="U19" s="6">
        <v>1.4742896999999999</v>
      </c>
      <c r="V19" s="6">
        <f>10^U19</f>
        <v>29.805039381455195</v>
      </c>
      <c r="X19" s="6" t="s">
        <v>318</v>
      </c>
      <c r="Y19" s="6" t="s">
        <v>294</v>
      </c>
      <c r="Z19" s="6" t="s">
        <v>295</v>
      </c>
      <c r="AA19" s="6" t="s">
        <v>296</v>
      </c>
      <c r="AB19" s="6" t="s">
        <v>297</v>
      </c>
      <c r="AC19" s="6" t="s">
        <v>298</v>
      </c>
      <c r="AD19" s="6" t="s">
        <v>299</v>
      </c>
      <c r="AE19" s="6" t="s">
        <v>300</v>
      </c>
      <c r="AF19" s="6" t="s">
        <v>301</v>
      </c>
      <c r="AG19" s="6" t="s">
        <v>302</v>
      </c>
      <c r="AH19" s="6" t="s">
        <v>303</v>
      </c>
    </row>
    <row r="20" spans="1:34" s="6" customFormat="1" ht="14" thickBot="1">
      <c r="A20" s="6" t="s">
        <v>186</v>
      </c>
      <c r="B20" s="6">
        <v>30</v>
      </c>
      <c r="C20" s="6">
        <v>6</v>
      </c>
      <c r="D20" s="6">
        <v>1</v>
      </c>
      <c r="E20" s="6">
        <v>26.13</v>
      </c>
      <c r="F20" s="6">
        <v>26.44</v>
      </c>
      <c r="G20" s="6">
        <v>26.44</v>
      </c>
      <c r="H20" s="6">
        <f t="shared" si="0"/>
        <v>26.33666666666667</v>
      </c>
      <c r="I20" s="6">
        <f t="shared" si="1"/>
        <v>0.17897858344878528</v>
      </c>
      <c r="J20" s="6">
        <f>AVERAGE(23.97,24.03)</f>
        <v>24</v>
      </c>
      <c r="K20" s="6">
        <v>7.6</v>
      </c>
      <c r="L20" s="6">
        <v>2.04</v>
      </c>
      <c r="M20" s="6">
        <f t="shared" si="2"/>
        <v>7.0044411464879593E-9</v>
      </c>
      <c r="N20" s="6">
        <v>1.101958502973805E-6</v>
      </c>
      <c r="O20" s="6">
        <f t="shared" si="3"/>
        <v>157.32282989147953</v>
      </c>
      <c r="P20" s="6">
        <f t="shared" si="4"/>
        <v>6.3162084753376245E-3</v>
      </c>
      <c r="R20" s="6" t="s">
        <v>442</v>
      </c>
      <c r="S20" s="6">
        <f>AVERAGE(O10:O26)</f>
        <v>76.01690222287327</v>
      </c>
      <c r="T20" s="6">
        <f>STDEV(O10:O26)/SQRT(17)</f>
        <v>7.9913211762279657</v>
      </c>
      <c r="U20" s="6">
        <v>1.8456454</v>
      </c>
      <c r="V20" s="6">
        <f t="shared" ref="V20:V23" si="5">10^U20</f>
        <v>70.088279625673081</v>
      </c>
      <c r="W20" s="6" t="s">
        <v>311</v>
      </c>
      <c r="X20" s="13" t="s">
        <v>295</v>
      </c>
      <c r="Y20" s="13" t="s">
        <v>320</v>
      </c>
      <c r="Z20" s="13" t="s">
        <v>319</v>
      </c>
      <c r="AA20" s="11" t="s">
        <v>321</v>
      </c>
      <c r="AB20" s="11" t="s">
        <v>322</v>
      </c>
      <c r="AC20" s="11" t="s">
        <v>323</v>
      </c>
      <c r="AD20" s="6" t="s">
        <v>324</v>
      </c>
      <c r="AE20" s="6" t="s">
        <v>325</v>
      </c>
      <c r="AF20" s="6" t="s">
        <v>326</v>
      </c>
      <c r="AG20" s="6" t="s">
        <v>327</v>
      </c>
      <c r="AH20" s="6" t="s">
        <v>328</v>
      </c>
    </row>
    <row r="21" spans="1:34" s="6" customFormat="1" ht="18">
      <c r="A21" s="6" t="s">
        <v>187</v>
      </c>
      <c r="B21" s="6">
        <v>30</v>
      </c>
      <c r="C21" s="6">
        <v>6</v>
      </c>
      <c r="D21" s="6">
        <v>2</v>
      </c>
      <c r="E21" s="6">
        <v>26.59</v>
      </c>
      <c r="F21" s="6">
        <v>26.63</v>
      </c>
      <c r="G21" s="6">
        <v>26.8</v>
      </c>
      <c r="H21" s="6">
        <f t="shared" si="0"/>
        <v>26.673333333333332</v>
      </c>
      <c r="I21" s="6">
        <f t="shared" si="1"/>
        <v>0.11150485789118553</v>
      </c>
      <c r="J21" s="6" t="s">
        <v>238</v>
      </c>
      <c r="K21" s="6">
        <v>5.2249999999999996</v>
      </c>
      <c r="L21" s="6">
        <v>2.04</v>
      </c>
      <c r="M21" s="6">
        <f t="shared" si="2"/>
        <v>5.5097429033329267E-9</v>
      </c>
      <c r="N21" s="6">
        <v>3.5942981993961393E-7</v>
      </c>
      <c r="O21" s="6">
        <f t="shared" si="3"/>
        <v>65.235316101988971</v>
      </c>
      <c r="P21" s="6">
        <f t="shared" si="4"/>
        <v>1.5097685930270228E-2</v>
      </c>
      <c r="Q21" s="6">
        <f>AVERAGE(P21:P23)</f>
        <v>1.6204691899825194E-2</v>
      </c>
      <c r="R21" s="14" t="s">
        <v>443</v>
      </c>
      <c r="S21" s="14">
        <f>AVERAGE(O27:O43)</f>
        <v>30.574584426288798</v>
      </c>
      <c r="T21" s="14">
        <f>STDEV(O27:O43)/SQRT(17)</f>
        <v>3.6374952963382774</v>
      </c>
      <c r="U21" s="6">
        <v>1.435559</v>
      </c>
      <c r="V21" s="6">
        <f t="shared" si="5"/>
        <v>27.262080760108475</v>
      </c>
      <c r="W21" s="6">
        <v>0.35780000000000001</v>
      </c>
      <c r="X21" s="6" t="s">
        <v>296</v>
      </c>
      <c r="Y21" s="6" t="s">
        <v>329</v>
      </c>
      <c r="Z21" s="6" t="s">
        <v>330</v>
      </c>
      <c r="AA21" s="11" t="s">
        <v>319</v>
      </c>
      <c r="AB21" s="11" t="s">
        <v>331</v>
      </c>
      <c r="AC21" s="11" t="s">
        <v>332</v>
      </c>
      <c r="AD21" s="6" t="s">
        <v>333</v>
      </c>
      <c r="AE21" s="6" t="s">
        <v>334</v>
      </c>
      <c r="AF21" s="6" t="s">
        <v>335</v>
      </c>
      <c r="AG21" s="6" t="s">
        <v>336</v>
      </c>
      <c r="AH21" s="6" t="s">
        <v>337</v>
      </c>
    </row>
    <row r="22" spans="1:34" s="6" customFormat="1" ht="18">
      <c r="A22" s="6" t="s">
        <v>239</v>
      </c>
      <c r="B22" s="6">
        <v>30</v>
      </c>
      <c r="C22" s="6">
        <v>6</v>
      </c>
      <c r="D22" s="6">
        <v>2</v>
      </c>
      <c r="E22" s="6">
        <v>24.96</v>
      </c>
      <c r="F22" s="6">
        <v>25.15</v>
      </c>
      <c r="G22" s="6">
        <v>25.4</v>
      </c>
      <c r="H22" s="6">
        <f t="shared" si="0"/>
        <v>25.169999999999998</v>
      </c>
      <c r="I22" s="12">
        <f t="shared" si="1"/>
        <v>0.22068076490713803</v>
      </c>
      <c r="J22" s="6">
        <f>AVERAGE(26.86,26.75)</f>
        <v>26.805</v>
      </c>
      <c r="K22" s="6">
        <v>3.0249999999999999</v>
      </c>
      <c r="L22" s="6">
        <v>2.04</v>
      </c>
      <c r="M22" s="6">
        <f t="shared" si="2"/>
        <v>1.6091950422558691E-8</v>
      </c>
      <c r="N22" s="6">
        <v>1.3903600679206409E-6</v>
      </c>
      <c r="O22" s="6">
        <f t="shared" si="3"/>
        <v>86.400966409363789</v>
      </c>
      <c r="P22" s="6">
        <f t="shared" si="4"/>
        <v>1.1441521084746999E-2</v>
      </c>
      <c r="R22" s="15" t="s">
        <v>445</v>
      </c>
      <c r="S22" s="16">
        <f>AVERAGE(O44:O60)</f>
        <v>32.444503922659067</v>
      </c>
      <c r="T22" s="16">
        <f>STDEV(O44:O60)/SQRT(17)</f>
        <v>3.996888764319495</v>
      </c>
      <c r="U22" s="6">
        <v>1.4622504999999999</v>
      </c>
      <c r="V22" s="6">
        <f t="shared" si="5"/>
        <v>28.990152504891487</v>
      </c>
      <c r="X22" s="6" t="s">
        <v>297</v>
      </c>
      <c r="Y22" s="6" t="s">
        <v>338</v>
      </c>
      <c r="Z22" s="6" t="s">
        <v>339</v>
      </c>
      <c r="AA22" s="11" t="s">
        <v>340</v>
      </c>
      <c r="AB22" s="11" t="s">
        <v>319</v>
      </c>
      <c r="AC22" s="11" t="s">
        <v>341</v>
      </c>
      <c r="AD22" s="6" t="s">
        <v>342</v>
      </c>
      <c r="AE22" s="6" t="s">
        <v>343</v>
      </c>
      <c r="AF22" s="6" t="s">
        <v>344</v>
      </c>
      <c r="AG22" s="6" t="s">
        <v>345</v>
      </c>
      <c r="AH22" s="6" t="s">
        <v>346</v>
      </c>
    </row>
    <row r="23" spans="1:34" s="6" customFormat="1" ht="19" thickBot="1">
      <c r="A23" s="6" t="s">
        <v>240</v>
      </c>
      <c r="B23" s="6">
        <v>30</v>
      </c>
      <c r="C23" s="6">
        <v>6</v>
      </c>
      <c r="D23" s="6">
        <v>2</v>
      </c>
      <c r="E23" s="6">
        <v>23.54</v>
      </c>
      <c r="F23" s="6">
        <v>23.69</v>
      </c>
      <c r="G23" s="6">
        <v>23.7</v>
      </c>
      <c r="H23" s="6">
        <f t="shared" si="0"/>
        <v>23.643333333333334</v>
      </c>
      <c r="I23" s="6">
        <f t="shared" si="1"/>
        <v>8.9628864398325611E-2</v>
      </c>
      <c r="J23" s="6" t="s">
        <v>129</v>
      </c>
      <c r="K23" s="6">
        <v>8.4875000000000007</v>
      </c>
      <c r="L23" s="6">
        <v>2.04</v>
      </c>
      <c r="M23" s="6">
        <f t="shared" si="2"/>
        <v>4.778710722877151E-8</v>
      </c>
      <c r="N23" s="6">
        <v>2.1169871395333693E-6</v>
      </c>
      <c r="O23" s="6">
        <f t="shared" si="3"/>
        <v>44.300382724543333</v>
      </c>
      <c r="P23" s="6">
        <f t="shared" si="4"/>
        <v>2.2074868684458359E-2</v>
      </c>
      <c r="R23" s="15" t="s">
        <v>446</v>
      </c>
      <c r="S23" s="16">
        <f>AVERAGE(O61:O78)</f>
        <v>41.573317107269958</v>
      </c>
      <c r="T23" s="16">
        <f>STDEV(O61:O78)/SQRT(18)</f>
        <v>5.993114070721095</v>
      </c>
      <c r="U23" s="6">
        <v>1.5663533000000001</v>
      </c>
      <c r="V23" s="6">
        <f t="shared" si="5"/>
        <v>36.842856962697233</v>
      </c>
      <c r="W23" s="6" t="s">
        <v>312</v>
      </c>
      <c r="X23" s="6" t="s">
        <v>298</v>
      </c>
      <c r="Y23" s="6" t="s">
        <v>347</v>
      </c>
      <c r="Z23" s="6" t="s">
        <v>348</v>
      </c>
      <c r="AA23" s="13" t="s">
        <v>349</v>
      </c>
      <c r="AB23" s="13" t="s">
        <v>350</v>
      </c>
      <c r="AC23" s="13" t="s">
        <v>319</v>
      </c>
      <c r="AD23" s="6" t="s">
        <v>351</v>
      </c>
      <c r="AE23" s="6" t="s">
        <v>352</v>
      </c>
      <c r="AF23" s="6" t="s">
        <v>353</v>
      </c>
      <c r="AG23" s="6" t="s">
        <v>354</v>
      </c>
      <c r="AH23" s="6" t="s">
        <v>355</v>
      </c>
    </row>
    <row r="24" spans="1:34" s="6" customFormat="1" ht="18">
      <c r="A24" s="6" t="s">
        <v>241</v>
      </c>
      <c r="B24" s="6">
        <v>30</v>
      </c>
      <c r="C24" s="6">
        <v>6</v>
      </c>
      <c r="D24" s="6">
        <v>3</v>
      </c>
      <c r="E24" s="6">
        <v>24.96</v>
      </c>
      <c r="F24" s="6">
        <v>24.72</v>
      </c>
      <c r="G24" s="6">
        <v>24.61</v>
      </c>
      <c r="H24" s="6">
        <f t="shared" si="0"/>
        <v>24.763333333333332</v>
      </c>
      <c r="I24" s="12">
        <f t="shared" si="1"/>
        <v>0.17897858344878484</v>
      </c>
      <c r="J24" s="6">
        <f>AVERAGE(30.45)</f>
        <v>30.45</v>
      </c>
      <c r="K24" s="6">
        <v>3.3468749999999998</v>
      </c>
      <c r="L24" s="6">
        <v>2.04</v>
      </c>
      <c r="M24" s="6">
        <f t="shared" si="2"/>
        <v>2.1504282365039386E-8</v>
      </c>
      <c r="N24" s="6">
        <v>1.5772646363199118E-6</v>
      </c>
      <c r="O24" s="6">
        <f t="shared" si="3"/>
        <v>73.346536729082004</v>
      </c>
      <c r="P24" s="6">
        <f t="shared" si="4"/>
        <v>1.3450525659910553E-2</v>
      </c>
      <c r="R24" s="15"/>
      <c r="S24" s="16"/>
      <c r="T24" s="16"/>
      <c r="U24" s="16"/>
      <c r="X24" s="6" t="s">
        <v>299</v>
      </c>
      <c r="Y24" s="6" t="s">
        <v>356</v>
      </c>
      <c r="Z24" s="6" t="s">
        <v>357</v>
      </c>
      <c r="AA24" s="6" t="s">
        <v>358</v>
      </c>
      <c r="AB24" s="6" t="s">
        <v>359</v>
      </c>
      <c r="AC24" s="6" t="s">
        <v>360</v>
      </c>
      <c r="AD24" s="6" t="s">
        <v>319</v>
      </c>
      <c r="AE24" s="6" t="s">
        <v>361</v>
      </c>
      <c r="AF24" s="6" t="s">
        <v>362</v>
      </c>
      <c r="AG24" s="6" t="s">
        <v>363</v>
      </c>
      <c r="AH24" s="6" t="s">
        <v>364</v>
      </c>
    </row>
    <row r="25" spans="1:34" s="6" customFormat="1" ht="18">
      <c r="A25" s="6" t="s">
        <v>242</v>
      </c>
      <c r="B25" s="6">
        <v>30</v>
      </c>
      <c r="C25" s="6">
        <v>6</v>
      </c>
      <c r="D25" s="6">
        <v>3</v>
      </c>
      <c r="E25" s="6">
        <v>24.17</v>
      </c>
      <c r="F25" s="6">
        <v>24.22</v>
      </c>
      <c r="G25" s="6">
        <v>24.17</v>
      </c>
      <c r="H25" s="6">
        <f t="shared" si="0"/>
        <v>24.186666666666667</v>
      </c>
      <c r="I25" s="6">
        <f t="shared" si="1"/>
        <v>2.8867513459479646E-2</v>
      </c>
      <c r="J25" s="6">
        <f>J24-J22</f>
        <v>3.6449999999999996</v>
      </c>
      <c r="K25" s="6">
        <v>8.0124999999999993</v>
      </c>
      <c r="L25" s="6">
        <v>2.04</v>
      </c>
      <c r="M25" s="6">
        <f t="shared" si="2"/>
        <v>3.2439813633353409E-8</v>
      </c>
      <c r="N25" s="6">
        <v>1.5617384720619986E-6</v>
      </c>
      <c r="O25" s="6">
        <f t="shared" si="3"/>
        <v>48.142646246779826</v>
      </c>
      <c r="P25" s="6">
        <f t="shared" si="4"/>
        <v>2.0348924536507374E-2</v>
      </c>
      <c r="R25" s="15" t="s">
        <v>450</v>
      </c>
      <c r="S25" s="16" t="s">
        <v>451</v>
      </c>
      <c r="T25" s="17" t="s">
        <v>452</v>
      </c>
      <c r="U25" s="17"/>
      <c r="V25" s="6">
        <v>0.43319999999999997</v>
      </c>
      <c r="W25" s="6">
        <v>0.78420000000000001</v>
      </c>
      <c r="X25" s="6" t="s">
        <v>300</v>
      </c>
      <c r="Y25" s="6" t="s">
        <v>365</v>
      </c>
      <c r="Z25" s="6" t="s">
        <v>366</v>
      </c>
      <c r="AA25" s="6" t="s">
        <v>367</v>
      </c>
      <c r="AB25" s="6" t="s">
        <v>368</v>
      </c>
      <c r="AC25" s="6" t="s">
        <v>369</v>
      </c>
      <c r="AD25" s="6" t="s">
        <v>370</v>
      </c>
      <c r="AE25" s="6" t="s">
        <v>319</v>
      </c>
      <c r="AF25" s="6" t="s">
        <v>371</v>
      </c>
      <c r="AG25" s="6" t="s">
        <v>372</v>
      </c>
      <c r="AH25" s="6" t="s">
        <v>373</v>
      </c>
    </row>
    <row r="26" spans="1:34" s="6" customFormat="1" ht="15">
      <c r="A26" s="6" t="s">
        <v>196</v>
      </c>
      <c r="B26" s="6">
        <v>30</v>
      </c>
      <c r="C26" s="6">
        <v>6</v>
      </c>
      <c r="D26" s="6">
        <v>3</v>
      </c>
      <c r="E26" s="6">
        <v>25.55</v>
      </c>
      <c r="F26" s="6">
        <v>25.59</v>
      </c>
      <c r="G26" s="6">
        <v>25.73</v>
      </c>
      <c r="H26" s="6">
        <f t="shared" si="0"/>
        <v>25.623333333333335</v>
      </c>
      <c r="I26" s="6">
        <f t="shared" si="1"/>
        <v>9.451631252505216E-2</v>
      </c>
      <c r="J26" s="6">
        <f>J22-J20</f>
        <v>2.8049999999999997</v>
      </c>
      <c r="K26" s="6">
        <v>6.7750000000000004</v>
      </c>
      <c r="L26" s="6">
        <v>2.04</v>
      </c>
      <c r="M26" s="6">
        <f t="shared" si="2"/>
        <v>1.1647775997819305E-8</v>
      </c>
      <c r="N26" s="6">
        <v>9.1880111416198024E-7</v>
      </c>
      <c r="O26" s="6">
        <f t="shared" si="3"/>
        <v>78.882107136503834</v>
      </c>
      <c r="P26" s="6">
        <f t="shared" si="4"/>
        <v>1.2518447945935925E-2</v>
      </c>
      <c r="R26" s="6">
        <v>7.7894030000000003E-2</v>
      </c>
      <c r="S26" s="18">
        <f>10^(U19+R26)-V19</f>
        <v>5.8551569577284184</v>
      </c>
      <c r="T26" s="18">
        <f>10^(U19-R26)-V19</f>
        <v>-4.8937807871220542</v>
      </c>
      <c r="U26" s="18">
        <v>4.9000000000000004</v>
      </c>
      <c r="X26" s="6" t="s">
        <v>301</v>
      </c>
      <c r="Y26" s="6" t="s">
        <v>374</v>
      </c>
      <c r="Z26" s="6" t="s">
        <v>375</v>
      </c>
      <c r="AA26" s="6" t="s">
        <v>376</v>
      </c>
      <c r="AB26" s="6" t="s">
        <v>377</v>
      </c>
      <c r="AC26" s="6" t="s">
        <v>378</v>
      </c>
      <c r="AD26" s="6" t="s">
        <v>379</v>
      </c>
      <c r="AE26" s="6" t="s">
        <v>380</v>
      </c>
      <c r="AF26" s="6" t="s">
        <v>319</v>
      </c>
      <c r="AG26" s="6" t="s">
        <v>381</v>
      </c>
      <c r="AH26" s="6" t="s">
        <v>382</v>
      </c>
    </row>
    <row r="27" spans="1:34" s="7" customFormat="1" ht="15">
      <c r="A27" s="7" t="s">
        <v>197</v>
      </c>
      <c r="B27" s="7">
        <v>27</v>
      </c>
      <c r="C27" s="7">
        <v>12</v>
      </c>
      <c r="D27" s="7">
        <v>1</v>
      </c>
      <c r="E27" s="7">
        <v>25.05</v>
      </c>
      <c r="F27" s="7">
        <v>25.18</v>
      </c>
      <c r="G27" s="7">
        <v>25.19</v>
      </c>
      <c r="H27" s="7">
        <f t="shared" si="0"/>
        <v>25.14</v>
      </c>
      <c r="I27" s="7">
        <f t="shared" si="1"/>
        <v>7.810249675906647E-2</v>
      </c>
      <c r="J27" s="7">
        <f>AVERAGE(J25:J26)</f>
        <v>3.2249999999999996</v>
      </c>
      <c r="K27" s="7">
        <v>6.2125000000000004</v>
      </c>
      <c r="L27" s="7">
        <v>2.04</v>
      </c>
      <c r="M27" s="7">
        <f t="shared" si="2"/>
        <v>1.6439840168061996E-8</v>
      </c>
      <c r="N27" s="7">
        <v>7.8624059102905117E-7</v>
      </c>
      <c r="O27" s="7">
        <f t="shared" si="3"/>
        <v>47.825318433234912</v>
      </c>
      <c r="P27" s="7">
        <f t="shared" si="4"/>
        <v>2.0481177227086138E-2</v>
      </c>
      <c r="R27" s="6">
        <v>5.3434860000000001E-2</v>
      </c>
      <c r="S27" s="18">
        <f>10^(U20+R27)-V20</f>
        <v>9.1765006346184492</v>
      </c>
      <c r="T27" s="18">
        <f t="shared" ref="T27:T30" si="6">10^(U20-R27)-V20</f>
        <v>-8.1141351852899177</v>
      </c>
      <c r="U27" s="7">
        <v>8.1</v>
      </c>
      <c r="W27" s="7" t="s">
        <v>64</v>
      </c>
      <c r="X27" s="7" t="s">
        <v>302</v>
      </c>
      <c r="Y27" s="7" t="s">
        <v>383</v>
      </c>
      <c r="Z27" s="7" t="s">
        <v>384</v>
      </c>
      <c r="AA27" s="7" t="s">
        <v>385</v>
      </c>
      <c r="AB27" s="7" t="s">
        <v>386</v>
      </c>
      <c r="AC27" s="7" t="s">
        <v>387</v>
      </c>
      <c r="AD27" s="7" t="s">
        <v>388</v>
      </c>
      <c r="AE27" s="7" t="s">
        <v>389</v>
      </c>
      <c r="AF27" s="7" t="s">
        <v>390</v>
      </c>
      <c r="AG27" s="7" t="s">
        <v>319</v>
      </c>
      <c r="AH27" s="7" t="s">
        <v>391</v>
      </c>
    </row>
    <row r="28" spans="1:34" s="7" customFormat="1" ht="15">
      <c r="A28" s="7" t="s">
        <v>198</v>
      </c>
      <c r="B28" s="7">
        <v>27</v>
      </c>
      <c r="C28" s="7">
        <v>12</v>
      </c>
      <c r="D28" s="7">
        <v>1</v>
      </c>
      <c r="E28" s="7">
        <v>24.09</v>
      </c>
      <c r="F28" s="7">
        <v>24.26</v>
      </c>
      <c r="G28" s="7">
        <v>24.13</v>
      </c>
      <c r="H28" s="7">
        <f t="shared" si="0"/>
        <v>24.16</v>
      </c>
      <c r="I28" s="7">
        <f t="shared" si="1"/>
        <v>8.8881944173156993E-2</v>
      </c>
      <c r="J28" s="7" t="s">
        <v>40</v>
      </c>
      <c r="K28" s="7">
        <v>8.5437499999999993</v>
      </c>
      <c r="L28" s="7">
        <v>2.04</v>
      </c>
      <c r="M28" s="7">
        <f t="shared" si="2"/>
        <v>3.3062459317409403E-8</v>
      </c>
      <c r="N28" s="7">
        <v>2.2024357543878583E-6</v>
      </c>
      <c r="O28" s="7">
        <f t="shared" si="3"/>
        <v>66.61439589970675</v>
      </c>
      <c r="P28" s="7">
        <f t="shared" si="4"/>
        <v>1.4789749826106736E-2</v>
      </c>
      <c r="Q28" s="7">
        <f>AVERAGE(P27:P29)</f>
        <v>3.2417904278896521E-2</v>
      </c>
      <c r="R28" s="6">
        <v>5.3434860000000001E-2</v>
      </c>
      <c r="S28" s="18">
        <f t="shared" ref="S28:S30" si="7">10^(U21+R28)-V21</f>
        <v>3.5693628482859552</v>
      </c>
      <c r="T28" s="18">
        <f t="shared" si="6"/>
        <v>-3.156136944739373</v>
      </c>
      <c r="U28" s="7">
        <v>3.2</v>
      </c>
      <c r="X28" s="7" t="s">
        <v>303</v>
      </c>
      <c r="Y28" s="7" t="s">
        <v>392</v>
      </c>
      <c r="Z28" s="7" t="s">
        <v>393</v>
      </c>
      <c r="AA28" s="7" t="s">
        <v>394</v>
      </c>
      <c r="AB28" s="7" t="s">
        <v>395</v>
      </c>
      <c r="AC28" s="7" t="s">
        <v>396</v>
      </c>
      <c r="AD28" s="7" t="s">
        <v>397</v>
      </c>
      <c r="AE28" s="7" t="s">
        <v>398</v>
      </c>
      <c r="AF28" s="7" t="s">
        <v>399</v>
      </c>
      <c r="AG28" s="7" t="s">
        <v>400</v>
      </c>
      <c r="AH28" s="7" t="s">
        <v>319</v>
      </c>
    </row>
    <row r="29" spans="1:34" s="7" customFormat="1" ht="15">
      <c r="A29" s="7" t="s">
        <v>199</v>
      </c>
      <c r="B29" s="7">
        <v>27</v>
      </c>
      <c r="C29" s="7">
        <v>12</v>
      </c>
      <c r="D29" s="7">
        <v>1</v>
      </c>
      <c r="E29" s="7">
        <v>23.87</v>
      </c>
      <c r="F29" s="7">
        <v>23.87</v>
      </c>
      <c r="G29" s="7">
        <v>23.84</v>
      </c>
      <c r="H29" s="7">
        <f t="shared" si="0"/>
        <v>23.86</v>
      </c>
      <c r="I29" s="7">
        <f t="shared" si="1"/>
        <v>1.7320508075689429E-2</v>
      </c>
      <c r="J29" s="7" t="s">
        <v>41</v>
      </c>
      <c r="K29" s="7">
        <v>6.1624999999999996</v>
      </c>
      <c r="L29" s="7">
        <v>2.02</v>
      </c>
      <c r="M29" s="7">
        <f t="shared" si="2"/>
        <v>5.1798397610644583E-8</v>
      </c>
      <c r="N29" s="7">
        <v>7.8389165658560008E-7</v>
      </c>
      <c r="O29" s="7">
        <f t="shared" si="3"/>
        <v>15.133511705862309</v>
      </c>
      <c r="P29" s="7">
        <f t="shared" si="4"/>
        <v>6.1982785783496704E-2</v>
      </c>
      <c r="Q29" s="7">
        <f>AVERAGE(P30:P32)</f>
        <v>2.7172477591606205E-2</v>
      </c>
      <c r="R29" s="6">
        <v>5.1929349999999999E-2</v>
      </c>
      <c r="S29" s="18">
        <f t="shared" si="7"/>
        <v>3.6821581661292093</v>
      </c>
      <c r="T29" s="18">
        <f t="shared" si="6"/>
        <v>-3.267180208282543</v>
      </c>
      <c r="U29" s="7">
        <v>3.3</v>
      </c>
      <c r="W29" s="7" t="s">
        <v>247</v>
      </c>
    </row>
    <row r="30" spans="1:34" s="7" customFormat="1" ht="15">
      <c r="A30" s="7" t="s">
        <v>200</v>
      </c>
      <c r="B30" s="7">
        <v>27</v>
      </c>
      <c r="C30" s="7">
        <v>12</v>
      </c>
      <c r="D30" s="7">
        <v>2</v>
      </c>
      <c r="E30" s="7">
        <v>24.94</v>
      </c>
      <c r="F30" s="7">
        <v>24.8</v>
      </c>
      <c r="G30" s="7">
        <v>24.76</v>
      </c>
      <c r="H30" s="7">
        <f t="shared" si="0"/>
        <v>24.833333333333332</v>
      </c>
      <c r="I30" s="7">
        <f t="shared" si="1"/>
        <v>9.451631252505216E-2</v>
      </c>
      <c r="J30" s="7" t="s">
        <v>116</v>
      </c>
      <c r="K30" s="7">
        <v>7.125</v>
      </c>
      <c r="L30" s="7">
        <v>2.02</v>
      </c>
      <c r="M30" s="7">
        <f t="shared" si="2"/>
        <v>2.612808972264321E-8</v>
      </c>
      <c r="N30" s="7">
        <v>9.1788140726908017E-7</v>
      </c>
      <c r="O30" s="7">
        <f t="shared" si="3"/>
        <v>35.130061822836701</v>
      </c>
      <c r="P30" s="7">
        <f t="shared" si="4"/>
        <v>2.7677782698061447E-2</v>
      </c>
      <c r="Q30" s="7">
        <f>AVERAGE(P33:P35)</f>
        <v>6.3048786779747859E-2</v>
      </c>
      <c r="R30" s="6">
        <v>5.3434860000000001E-2</v>
      </c>
      <c r="S30" s="18">
        <f t="shared" si="7"/>
        <v>4.8237523035949437</v>
      </c>
      <c r="T30" s="18">
        <f t="shared" si="6"/>
        <v>-4.2653054633990664</v>
      </c>
      <c r="U30" s="6">
        <v>4.3</v>
      </c>
      <c r="W30" s="7">
        <v>27</v>
      </c>
    </row>
    <row r="31" spans="1:34" s="7" customFormat="1">
      <c r="A31" s="7" t="s">
        <v>201</v>
      </c>
      <c r="B31" s="7">
        <v>27</v>
      </c>
      <c r="C31" s="7">
        <v>12</v>
      </c>
      <c r="D31" s="7">
        <v>2</v>
      </c>
      <c r="E31" s="7">
        <v>24.11</v>
      </c>
      <c r="F31" s="7">
        <v>24.12</v>
      </c>
      <c r="G31" s="7">
        <v>24.19</v>
      </c>
      <c r="H31" s="7">
        <f t="shared" si="0"/>
        <v>24.14</v>
      </c>
      <c r="I31" s="7">
        <f t="shared" si="1"/>
        <v>4.3588989435407434E-2</v>
      </c>
      <c r="J31" s="7">
        <f>AVERAGE(H2:H28)</f>
        <v>24.035493827160494</v>
      </c>
      <c r="K31" s="7">
        <v>11.18125</v>
      </c>
      <c r="L31" s="7">
        <v>2.02</v>
      </c>
      <c r="M31" s="7">
        <f t="shared" si="2"/>
        <v>4.2542003751880961E-8</v>
      </c>
      <c r="N31" s="7">
        <v>1.1910125504457779E-6</v>
      </c>
      <c r="O31" s="7">
        <f t="shared" si="3"/>
        <v>27.996155455961997</v>
      </c>
      <c r="P31" s="7">
        <f t="shared" si="4"/>
        <v>3.4487330622804575E-2</v>
      </c>
      <c r="R31" s="6" t="s">
        <v>291</v>
      </c>
      <c r="S31" s="6" t="s">
        <v>292</v>
      </c>
      <c r="T31" s="6"/>
      <c r="U31" s="6" t="s">
        <v>293</v>
      </c>
      <c r="V31" s="7" t="s">
        <v>447</v>
      </c>
      <c r="W31" s="7">
        <v>27</v>
      </c>
    </row>
    <row r="32" spans="1:34" s="7" customFormat="1">
      <c r="A32" s="7" t="s">
        <v>202</v>
      </c>
      <c r="B32" s="7">
        <v>27</v>
      </c>
      <c r="C32" s="7">
        <v>12</v>
      </c>
      <c r="D32" s="7">
        <v>2</v>
      </c>
      <c r="E32" s="7">
        <v>25.35</v>
      </c>
      <c r="F32" s="7">
        <v>25.37</v>
      </c>
      <c r="G32" s="7">
        <v>25.45</v>
      </c>
      <c r="H32" s="7">
        <f t="shared" si="0"/>
        <v>25.39</v>
      </c>
      <c r="I32" s="7">
        <f t="shared" si="1"/>
        <v>5.2915026221290684E-2</v>
      </c>
      <c r="J32" s="7" t="s">
        <v>117</v>
      </c>
      <c r="K32" s="7">
        <v>4.8250000000000002</v>
      </c>
      <c r="L32" s="7">
        <v>2.02</v>
      </c>
      <c r="M32" s="7">
        <f t="shared" si="2"/>
        <v>1.7665613716720621E-8</v>
      </c>
      <c r="N32" s="7">
        <v>8.9517657859798586E-7</v>
      </c>
      <c r="O32" s="7">
        <f t="shared" si="3"/>
        <v>50.673392555317527</v>
      </c>
      <c r="P32" s="7">
        <f t="shared" si="4"/>
        <v>1.9352319453952587E-2</v>
      </c>
      <c r="R32" s="6">
        <v>0</v>
      </c>
      <c r="T32" s="6"/>
      <c r="V32" s="7">
        <v>1.4742900000000001</v>
      </c>
      <c r="W32" s="7">
        <v>27</v>
      </c>
    </row>
    <row r="33" spans="1:38" s="7" customFormat="1">
      <c r="A33" s="7" t="s">
        <v>203</v>
      </c>
      <c r="B33" s="7">
        <v>27</v>
      </c>
      <c r="C33" s="7">
        <v>12</v>
      </c>
      <c r="D33" s="7">
        <v>3</v>
      </c>
      <c r="E33" s="7" t="s">
        <v>31</v>
      </c>
      <c r="F33" s="7">
        <v>25.37</v>
      </c>
      <c r="G33" s="7">
        <v>25.48</v>
      </c>
      <c r="H33" s="7">
        <f t="shared" si="0"/>
        <v>25.425000000000001</v>
      </c>
      <c r="I33" s="7">
        <f t="shared" si="1"/>
        <v>7.7781745930519827E-2</v>
      </c>
      <c r="J33" s="7">
        <f>AVERAGE(H29:H55)</f>
        <v>25.378950617283948</v>
      </c>
      <c r="K33" s="7">
        <v>7.3312499999999998</v>
      </c>
      <c r="L33" s="7">
        <v>2.02</v>
      </c>
      <c r="M33" s="7">
        <f t="shared" si="2"/>
        <v>1.7236196310788322E-8</v>
      </c>
      <c r="N33" s="7">
        <v>2.4829168444057966E-7</v>
      </c>
      <c r="O33" s="7">
        <f t="shared" si="3"/>
        <v>14.405248116440355</v>
      </c>
      <c r="P33" s="7">
        <f t="shared" si="4"/>
        <v>6.4912943461962691E-2</v>
      </c>
      <c r="R33" s="6">
        <v>12</v>
      </c>
      <c r="T33" s="6"/>
      <c r="V33" s="7">
        <v>1.4355599999999999</v>
      </c>
      <c r="W33" s="7">
        <v>27</v>
      </c>
      <c r="X33" s="7" t="s">
        <v>291</v>
      </c>
    </row>
    <row r="34" spans="1:38" s="7" customFormat="1">
      <c r="A34" s="7" t="s">
        <v>204</v>
      </c>
      <c r="B34" s="7">
        <v>27</v>
      </c>
      <c r="C34" s="7">
        <v>12</v>
      </c>
      <c r="D34" s="7">
        <v>3</v>
      </c>
      <c r="E34" s="7">
        <v>22.62</v>
      </c>
      <c r="F34" s="7">
        <v>22.6</v>
      </c>
      <c r="G34" s="7">
        <v>22.55</v>
      </c>
      <c r="H34" s="7">
        <f t="shared" si="0"/>
        <v>22.59</v>
      </c>
      <c r="I34" s="7">
        <f t="shared" si="1"/>
        <v>3.6055512754640105E-2</v>
      </c>
      <c r="J34" s="7" t="s">
        <v>151</v>
      </c>
      <c r="K34" s="7">
        <v>5.84375</v>
      </c>
      <c r="L34" s="7">
        <v>2.02</v>
      </c>
      <c r="M34" s="7">
        <f t="shared" si="2"/>
        <v>1.2650641952639174E-7</v>
      </c>
      <c r="N34" s="7">
        <v>1.3132275944815475E-6</v>
      </c>
      <c r="O34" s="7">
        <f t="shared" si="3"/>
        <v>10.380719013295465</v>
      </c>
      <c r="P34" s="7">
        <f t="shared" ref="P34:P65" si="8">M34/(M34+N34)</f>
        <v>8.7867910527599818E-2</v>
      </c>
      <c r="R34" s="6">
        <v>24</v>
      </c>
      <c r="T34" s="6"/>
      <c r="V34" s="7">
        <v>1.46225</v>
      </c>
      <c r="W34" s="7">
        <v>27</v>
      </c>
      <c r="X34" s="7" t="s">
        <v>299</v>
      </c>
      <c r="Y34" s="7" t="s">
        <v>63</v>
      </c>
      <c r="Z34" s="7" t="s">
        <v>292</v>
      </c>
    </row>
    <row r="35" spans="1:38" s="7" customFormat="1">
      <c r="A35" s="7" t="s">
        <v>205</v>
      </c>
      <c r="B35" s="7">
        <v>27</v>
      </c>
      <c r="C35" s="7">
        <v>12</v>
      </c>
      <c r="D35" s="7">
        <v>3</v>
      </c>
      <c r="E35" s="7">
        <v>23.79</v>
      </c>
      <c r="F35" s="7">
        <v>23.94</v>
      </c>
      <c r="G35" s="7">
        <v>24.06</v>
      </c>
      <c r="H35" s="7">
        <f t="shared" si="0"/>
        <v>23.930000000000003</v>
      </c>
      <c r="I35" s="7">
        <f t="shared" si="1"/>
        <v>0.13527749258468671</v>
      </c>
      <c r="J35" s="7">
        <f>AVERAGE(H56:H78)</f>
        <v>24.891376811594206</v>
      </c>
      <c r="K35" s="7">
        <v>6.9562499999999998</v>
      </c>
      <c r="L35" s="7">
        <v>2.02</v>
      </c>
      <c r="M35" s="7">
        <f t="shared" si="2"/>
        <v>4.9310763748512889E-8</v>
      </c>
      <c r="N35" s="7">
        <v>1.30666550877616E-6</v>
      </c>
      <c r="O35" s="7">
        <f t="shared" si="3"/>
        <v>26.498585895773441</v>
      </c>
      <c r="P35" s="7">
        <f t="shared" si="8"/>
        <v>3.6365506349681088E-2</v>
      </c>
      <c r="R35" s="6">
        <v>48</v>
      </c>
      <c r="T35" s="6"/>
      <c r="V35" s="7">
        <v>1.5663499999999999</v>
      </c>
      <c r="W35" s="7">
        <v>27</v>
      </c>
      <c r="X35" s="7" t="s">
        <v>300</v>
      </c>
      <c r="Y35" s="7" t="s">
        <v>63</v>
      </c>
      <c r="Z35" s="7">
        <v>0.56282244000000003</v>
      </c>
    </row>
    <row r="36" spans="1:38" s="6" customFormat="1">
      <c r="A36" s="6" t="s">
        <v>206</v>
      </c>
      <c r="B36" s="6">
        <v>30</v>
      </c>
      <c r="C36" s="6">
        <v>12</v>
      </c>
      <c r="D36" s="6">
        <v>1</v>
      </c>
      <c r="E36" s="6">
        <v>26.41</v>
      </c>
      <c r="F36" s="6">
        <v>26.28</v>
      </c>
      <c r="G36" s="6">
        <v>26.79</v>
      </c>
      <c r="H36" s="6">
        <f t="shared" si="0"/>
        <v>26.493333333333329</v>
      </c>
      <c r="I36" s="12">
        <f t="shared" si="1"/>
        <v>0.26501572280401181</v>
      </c>
      <c r="K36" s="6">
        <v>12.81875</v>
      </c>
      <c r="L36" s="6">
        <v>2.02</v>
      </c>
      <c r="M36" s="6">
        <f t="shared" si="2"/>
        <v>8.1325058706610936E-9</v>
      </c>
      <c r="N36" s="6">
        <v>1.6178964946887807E-7</v>
      </c>
      <c r="O36" s="6">
        <f t="shared" si="3"/>
        <v>19.894193996533339</v>
      </c>
      <c r="P36" s="6">
        <f t="shared" si="8"/>
        <v>4.7860185473817027E-2</v>
      </c>
      <c r="R36" s="6">
        <v>6</v>
      </c>
      <c r="V36" s="6">
        <v>1.84565</v>
      </c>
      <c r="W36" s="6">
        <v>30</v>
      </c>
      <c r="X36" s="6" t="s">
        <v>296</v>
      </c>
      <c r="Y36" s="6" t="s">
        <v>63</v>
      </c>
      <c r="Z36" s="7">
        <v>0.55510813000000003</v>
      </c>
    </row>
    <row r="37" spans="1:38" s="6" customFormat="1">
      <c r="A37" s="6" t="s">
        <v>207</v>
      </c>
      <c r="B37" s="6">
        <v>30</v>
      </c>
      <c r="C37" s="6">
        <v>12</v>
      </c>
      <c r="D37" s="6">
        <v>1</v>
      </c>
      <c r="E37" s="6">
        <v>24.32</v>
      </c>
      <c r="F37" s="6">
        <v>24.27</v>
      </c>
      <c r="G37" s="6">
        <v>24.25</v>
      </c>
      <c r="H37" s="6">
        <f t="shared" si="0"/>
        <v>24.28</v>
      </c>
      <c r="I37" s="6">
        <f t="shared" si="1"/>
        <v>3.6055512754640105E-2</v>
      </c>
      <c r="J37" s="6">
        <f>2.04^J31</f>
        <v>27676679.072210848</v>
      </c>
      <c r="K37" s="6">
        <v>7.3</v>
      </c>
      <c r="L37" s="6">
        <v>2.02</v>
      </c>
      <c r="M37" s="6">
        <f t="shared" si="2"/>
        <v>3.8553938462491413E-8</v>
      </c>
      <c r="N37" s="6">
        <v>8.4506405273587883E-7</v>
      </c>
      <c r="O37" s="6">
        <f t="shared" si="3"/>
        <v>21.919007147817851</v>
      </c>
      <c r="P37" s="6">
        <f t="shared" si="8"/>
        <v>4.3631907505871662E-2</v>
      </c>
      <c r="W37" s="6">
        <v>30</v>
      </c>
      <c r="X37" s="6" t="s">
        <v>295</v>
      </c>
      <c r="Y37" s="6" t="s">
        <v>63</v>
      </c>
      <c r="Z37" s="6">
        <v>0.54475037999999998</v>
      </c>
    </row>
    <row r="38" spans="1:38" s="6" customFormat="1">
      <c r="A38" s="6" t="s">
        <v>208</v>
      </c>
      <c r="B38" s="6">
        <v>30</v>
      </c>
      <c r="C38" s="6">
        <v>12</v>
      </c>
      <c r="D38" s="6">
        <v>1</v>
      </c>
      <c r="E38" s="6">
        <v>25.12</v>
      </c>
      <c r="F38" s="6">
        <v>25.09</v>
      </c>
      <c r="G38" s="6">
        <v>25.01</v>
      </c>
      <c r="H38" s="6">
        <f t="shared" si="0"/>
        <v>25.073333333333334</v>
      </c>
      <c r="I38" s="6">
        <f t="shared" si="1"/>
        <v>5.6862407030772784E-2</v>
      </c>
      <c r="J38" s="6">
        <f>2.02^J33</f>
        <v>56169082.008835524</v>
      </c>
      <c r="K38" s="6">
        <v>12.737500000000001</v>
      </c>
      <c r="L38" s="6">
        <v>2.02</v>
      </c>
      <c r="M38" s="6">
        <f t="shared" si="2"/>
        <v>2.2071067048048746E-8</v>
      </c>
      <c r="N38" s="6">
        <v>6.0488131611402113E-7</v>
      </c>
      <c r="O38" s="6">
        <f t="shared" si="3"/>
        <v>27.40607487608975</v>
      </c>
      <c r="P38" s="6">
        <f t="shared" si="8"/>
        <v>3.520373738230656E-2</v>
      </c>
      <c r="R38"/>
      <c r="S38"/>
      <c r="T38"/>
      <c r="U38"/>
      <c r="V38"/>
      <c r="W38"/>
      <c r="X38"/>
      <c r="Y38"/>
      <c r="Z38" s="6">
        <v>0.53966243999999997</v>
      </c>
      <c r="AA38"/>
      <c r="AB38"/>
      <c r="AC38"/>
      <c r="AD38"/>
      <c r="AE38"/>
      <c r="AF38"/>
      <c r="AG38"/>
      <c r="AH38"/>
      <c r="AI38"/>
      <c r="AJ38"/>
      <c r="AK38"/>
      <c r="AL38"/>
    </row>
    <row r="39" spans="1:38" s="6" customFormat="1">
      <c r="A39" s="6" t="s">
        <v>209</v>
      </c>
      <c r="B39" s="6">
        <v>30</v>
      </c>
      <c r="C39" s="6">
        <v>12</v>
      </c>
      <c r="D39" s="6">
        <v>2</v>
      </c>
      <c r="E39" s="6">
        <v>25.42</v>
      </c>
      <c r="F39" s="6">
        <v>25.42</v>
      </c>
      <c r="G39" s="6">
        <v>25.44</v>
      </c>
      <c r="H39" s="6">
        <f t="shared" si="0"/>
        <v>25.426666666666666</v>
      </c>
      <c r="I39" s="6">
        <f t="shared" si="1"/>
        <v>1.154700538379227E-2</v>
      </c>
      <c r="J39" s="6">
        <f>1.97^J35</f>
        <v>21363371.545439653</v>
      </c>
      <c r="K39" s="6">
        <v>3.7062499999999998</v>
      </c>
      <c r="L39" s="6">
        <v>2.02</v>
      </c>
      <c r="M39" s="6">
        <f t="shared" si="2"/>
        <v>1.7216010262511303E-8</v>
      </c>
      <c r="N39" s="6">
        <v>5.6320728436635733E-7</v>
      </c>
      <c r="O39" s="6">
        <f t="shared" si="3"/>
        <v>32.714158261903947</v>
      </c>
      <c r="P39" s="6">
        <f t="shared" si="8"/>
        <v>2.9661129079113682E-2</v>
      </c>
      <c r="Q39" s="6">
        <f>AVERAGE(P39:P41)</f>
        <v>3.0326697291269782E-2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</row>
    <row r="40" spans="1:38" s="6" customFormat="1">
      <c r="A40" s="6" t="s">
        <v>210</v>
      </c>
      <c r="B40" s="6">
        <v>30</v>
      </c>
      <c r="C40" s="6">
        <v>12</v>
      </c>
      <c r="D40" s="6">
        <v>2</v>
      </c>
      <c r="E40" s="6">
        <v>25.07</v>
      </c>
      <c r="F40" s="6">
        <v>25.16</v>
      </c>
      <c r="G40" s="6">
        <v>25.17</v>
      </c>
      <c r="H40" s="6">
        <f t="shared" si="0"/>
        <v>25.133333333333336</v>
      </c>
      <c r="I40" s="6">
        <f t="shared" si="1"/>
        <v>5.5075705472861454E-2</v>
      </c>
      <c r="K40" s="6">
        <v>12.112500000000001</v>
      </c>
      <c r="L40" s="6">
        <v>2.02</v>
      </c>
      <c r="M40" s="6">
        <f t="shared" si="2"/>
        <v>2.1159346372900424E-8</v>
      </c>
      <c r="N40" s="6">
        <v>8.6216803589884983E-7</v>
      </c>
      <c r="O40" s="6">
        <f t="shared" si="3"/>
        <v>40.746439927986671</v>
      </c>
      <c r="P40" s="6">
        <f t="shared" si="8"/>
        <v>2.3954138406173487E-2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38" s="6" customFormat="1">
      <c r="A41" s="6" t="s">
        <v>211</v>
      </c>
      <c r="B41" s="6">
        <v>30</v>
      </c>
      <c r="C41" s="6">
        <v>12</v>
      </c>
      <c r="D41" s="6">
        <v>2</v>
      </c>
      <c r="E41" s="6">
        <v>24.24</v>
      </c>
      <c r="F41" s="6">
        <v>24.26</v>
      </c>
      <c r="G41" s="6">
        <v>24.26</v>
      </c>
      <c r="H41" s="6">
        <f t="shared" si="0"/>
        <v>24.253333333333334</v>
      </c>
      <c r="I41" s="6">
        <f t="shared" si="1"/>
        <v>1.154700538379432E-2</v>
      </c>
      <c r="K41" s="6">
        <v>10.4375</v>
      </c>
      <c r="L41" s="6">
        <v>2.02</v>
      </c>
      <c r="M41" s="6">
        <f t="shared" si="2"/>
        <v>3.9283615628034388E-8</v>
      </c>
      <c r="N41" s="6">
        <v>1.0120692616011071E-6</v>
      </c>
      <c r="O41" s="6">
        <f t="shared" si="3"/>
        <v>25.763139299195597</v>
      </c>
      <c r="P41" s="6">
        <f t="shared" si="8"/>
        <v>3.7364824388522178E-2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:38" s="6" customFormat="1">
      <c r="A42" s="6" t="s">
        <v>212</v>
      </c>
      <c r="B42" s="6">
        <v>30</v>
      </c>
      <c r="C42" s="6">
        <v>12</v>
      </c>
      <c r="D42" s="6">
        <v>3</v>
      </c>
      <c r="E42" s="6">
        <v>24.9</v>
      </c>
      <c r="F42" s="6">
        <v>24.73</v>
      </c>
      <c r="G42" s="6">
        <v>24.73</v>
      </c>
      <c r="H42" s="6">
        <f t="shared" si="0"/>
        <v>24.786666666666665</v>
      </c>
      <c r="I42" s="6">
        <f t="shared" si="1"/>
        <v>9.8149545762235307E-2</v>
      </c>
      <c r="K42" s="6">
        <v>4.1124999999999998</v>
      </c>
      <c r="L42" s="6">
        <v>2.02</v>
      </c>
      <c r="M42" s="6">
        <f t="shared" si="2"/>
        <v>2.6999603680232975E-8</v>
      </c>
      <c r="N42" s="6">
        <v>1.0992770963156156E-6</v>
      </c>
      <c r="O42" s="6">
        <f t="shared" si="3"/>
        <v>40.714564159340661</v>
      </c>
      <c r="P42" s="6">
        <f t="shared" si="8"/>
        <v>2.3972442722407821E-2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:38" s="6" customFormat="1">
      <c r="A43" s="6" t="s">
        <v>14</v>
      </c>
      <c r="B43" s="6">
        <v>30</v>
      </c>
      <c r="C43" s="6">
        <v>12</v>
      </c>
      <c r="D43" s="6">
        <v>3</v>
      </c>
      <c r="E43" s="6">
        <v>23.1</v>
      </c>
      <c r="F43" s="6">
        <v>23.24</v>
      </c>
      <c r="G43" s="6">
        <v>23.21</v>
      </c>
      <c r="H43" s="6">
        <f t="shared" si="0"/>
        <v>23.183333333333337</v>
      </c>
      <c r="I43" s="6">
        <f t="shared" si="1"/>
        <v>7.3711147958318693E-2</v>
      </c>
      <c r="K43" s="6">
        <v>8.2062500000000007</v>
      </c>
      <c r="L43" s="6">
        <v>2.02</v>
      </c>
      <c r="M43" s="6">
        <f t="shared" si="2"/>
        <v>8.3356106013080117E-8</v>
      </c>
      <c r="N43" s="6">
        <v>1.3297773484811172E-6</v>
      </c>
      <c r="O43" s="6">
        <f t="shared" si="3"/>
        <v>15.952968679612392</v>
      </c>
      <c r="P43" s="6">
        <f t="shared" si="8"/>
        <v>5.8986719016510557E-2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s="7" customFormat="1">
      <c r="A44" s="7" t="s">
        <v>77</v>
      </c>
      <c r="B44" s="7">
        <v>27</v>
      </c>
      <c r="C44" s="7">
        <v>24</v>
      </c>
      <c r="D44" s="7">
        <v>1</v>
      </c>
      <c r="E44" s="7">
        <v>24.44</v>
      </c>
      <c r="F44" s="7">
        <v>24.46</v>
      </c>
      <c r="G44" s="7">
        <v>24.38</v>
      </c>
      <c r="H44" s="7">
        <f t="shared" si="0"/>
        <v>24.426666666666666</v>
      </c>
      <c r="I44" s="7">
        <f t="shared" si="1"/>
        <v>4.1633319989323757E-2</v>
      </c>
      <c r="K44" s="7">
        <v>3.5750000000000002</v>
      </c>
      <c r="L44" s="7">
        <v>2.02</v>
      </c>
      <c r="M44" s="7">
        <f t="shared" si="2"/>
        <v>3.47763407302728E-8</v>
      </c>
      <c r="N44" s="7">
        <v>1.2584838144924741E-6</v>
      </c>
      <c r="O44" s="7">
        <f t="shared" si="3"/>
        <v>36.187930876722866</v>
      </c>
      <c r="P44" s="7">
        <f t="shared" si="8"/>
        <v>2.6890444733668483E-2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38" s="7" customFormat="1">
      <c r="A45" s="7" t="s">
        <v>78</v>
      </c>
      <c r="B45" s="7">
        <v>27</v>
      </c>
      <c r="C45" s="7">
        <v>24</v>
      </c>
      <c r="D45" s="7">
        <v>1</v>
      </c>
      <c r="E45" s="10">
        <v>28.49</v>
      </c>
      <c r="F45" s="10">
        <v>28.51</v>
      </c>
      <c r="G45" s="10">
        <v>28.56</v>
      </c>
      <c r="H45" s="10">
        <f t="shared" si="0"/>
        <v>28.52</v>
      </c>
      <c r="I45" s="7">
        <f t="shared" si="1"/>
        <v>3.6055512754639613E-2</v>
      </c>
      <c r="K45" s="7">
        <v>9.3187499999999996</v>
      </c>
      <c r="L45" s="7">
        <v>2.02</v>
      </c>
      <c r="M45" s="7">
        <f t="shared" si="2"/>
        <v>1.9560454576392006E-9</v>
      </c>
      <c r="N45" s="7">
        <v>5.5383224714490263E-8</v>
      </c>
      <c r="O45" s="7">
        <f t="shared" si="3"/>
        <v>28.313874045306513</v>
      </c>
      <c r="P45" s="7">
        <f t="shared" si="8"/>
        <v>3.4113539495135799E-2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38" s="7" customFormat="1">
      <c r="A46" s="7" t="s">
        <v>79</v>
      </c>
      <c r="B46" s="7">
        <v>27</v>
      </c>
      <c r="C46" s="7">
        <v>24</v>
      </c>
      <c r="D46" s="7">
        <v>1</v>
      </c>
      <c r="E46" s="7">
        <v>24.1</v>
      </c>
      <c r="F46" s="7">
        <v>24.1</v>
      </c>
      <c r="G46" s="7">
        <v>24.08</v>
      </c>
      <c r="H46" s="7">
        <f t="shared" si="0"/>
        <v>24.093333333333334</v>
      </c>
      <c r="I46" s="7">
        <f t="shared" si="1"/>
        <v>1.154700538379432E-2</v>
      </c>
      <c r="K46" s="7">
        <v>6.375</v>
      </c>
      <c r="L46" s="7">
        <v>2.02</v>
      </c>
      <c r="M46" s="7">
        <f t="shared" si="2"/>
        <v>4.3961011051962049E-8</v>
      </c>
      <c r="N46" s="7">
        <v>9.1329483256779625E-7</v>
      </c>
      <c r="O46" s="7">
        <f t="shared" si="3"/>
        <v>20.775109823754484</v>
      </c>
      <c r="P46" s="7">
        <f t="shared" si="8"/>
        <v>4.5923993407789805E-2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38" s="7" customFormat="1">
      <c r="A47" s="7" t="s">
        <v>80</v>
      </c>
      <c r="B47" s="7">
        <v>27</v>
      </c>
      <c r="C47" s="7">
        <v>24</v>
      </c>
      <c r="D47" s="7">
        <v>2</v>
      </c>
      <c r="E47" s="10">
        <v>30.47</v>
      </c>
      <c r="F47" s="10">
        <v>30.25</v>
      </c>
      <c r="G47" s="10">
        <v>30.04</v>
      </c>
      <c r="H47" s="10">
        <f t="shared" si="0"/>
        <v>30.25333333333333</v>
      </c>
      <c r="I47" s="10">
        <f t="shared" si="1"/>
        <v>0.2150193789716017</v>
      </c>
      <c r="K47" s="7">
        <v>5.03125</v>
      </c>
      <c r="L47" s="7">
        <v>2.02</v>
      </c>
      <c r="M47" s="7">
        <f t="shared" si="2"/>
        <v>5.7823348321793304E-10</v>
      </c>
      <c r="N47" s="7">
        <v>1.0899460287039972E-8</v>
      </c>
      <c r="O47" s="7">
        <f t="shared" si="3"/>
        <v>18.849583435368142</v>
      </c>
      <c r="P47" s="7">
        <f t="shared" si="8"/>
        <v>5.0378890985600847E-2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38" s="7" customFormat="1">
      <c r="A48" s="7" t="s">
        <v>81</v>
      </c>
      <c r="B48" s="7">
        <v>27</v>
      </c>
      <c r="C48" s="7">
        <v>24</v>
      </c>
      <c r="D48" s="7">
        <v>2</v>
      </c>
      <c r="E48" s="7">
        <v>23.6</v>
      </c>
      <c r="F48" s="7">
        <v>23.62</v>
      </c>
      <c r="G48" s="7">
        <v>23.65</v>
      </c>
      <c r="H48" s="7">
        <f t="shared" si="0"/>
        <v>23.623333333333335</v>
      </c>
      <c r="I48" s="7">
        <f t="shared" si="1"/>
        <v>2.5166114784234354E-2</v>
      </c>
      <c r="K48" s="7">
        <v>3.3125</v>
      </c>
      <c r="L48" s="7">
        <v>2.02</v>
      </c>
      <c r="M48" s="7">
        <f t="shared" si="2"/>
        <v>6.1176244903640811E-8</v>
      </c>
      <c r="N48" s="7">
        <v>7.8193068411276413E-7</v>
      </c>
      <c r="O48" s="7">
        <f t="shared" si="3"/>
        <v>12.781606411841546</v>
      </c>
      <c r="P48" s="7">
        <f t="shared" si="8"/>
        <v>7.2560481711389721E-2</v>
      </c>
    </row>
    <row r="49" spans="1:22" s="7" customFormat="1">
      <c r="A49" s="7" t="s">
        <v>82</v>
      </c>
      <c r="B49" s="7">
        <v>27</v>
      </c>
      <c r="C49" s="7">
        <v>24</v>
      </c>
      <c r="D49" s="7">
        <v>2</v>
      </c>
      <c r="E49" s="7">
        <v>26.96</v>
      </c>
      <c r="F49" s="7">
        <v>26.82</v>
      </c>
      <c r="G49" s="7">
        <v>27.02</v>
      </c>
      <c r="H49" s="7">
        <f t="shared" si="0"/>
        <v>26.933333333333334</v>
      </c>
      <c r="I49" s="7">
        <f t="shared" si="1"/>
        <v>0.10263202878893746</v>
      </c>
      <c r="K49" s="7">
        <v>5.7562499999999996</v>
      </c>
      <c r="L49" s="7">
        <v>2.02</v>
      </c>
      <c r="M49" s="7">
        <f t="shared" si="2"/>
        <v>5.9685630077991717E-9</v>
      </c>
      <c r="N49" s="7">
        <v>1.8245865613342561E-7</v>
      </c>
      <c r="O49" s="7">
        <f t="shared" si="3"/>
        <v>30.569947220965137</v>
      </c>
      <c r="P49" s="7">
        <f t="shared" si="8"/>
        <v>3.1675694387474765E-2</v>
      </c>
    </row>
    <row r="50" spans="1:22" s="7" customFormat="1">
      <c r="A50" s="7" t="s">
        <v>10</v>
      </c>
      <c r="B50" s="7">
        <v>27</v>
      </c>
      <c r="C50" s="7">
        <v>24</v>
      </c>
      <c r="D50" s="7">
        <v>3</v>
      </c>
      <c r="E50" s="7">
        <v>26.53</v>
      </c>
      <c r="F50" s="7">
        <v>26.49</v>
      </c>
      <c r="G50" s="7">
        <v>26.49</v>
      </c>
      <c r="H50" s="7">
        <f t="shared" si="0"/>
        <v>26.50333333333333</v>
      </c>
      <c r="I50" s="7">
        <f t="shared" si="1"/>
        <v>2.309401076758659E-2</v>
      </c>
      <c r="K50" s="7">
        <v>8.25</v>
      </c>
      <c r="L50" s="7">
        <v>2.02</v>
      </c>
      <c r="M50" s="7">
        <f t="shared" si="2"/>
        <v>8.0755269676208806E-9</v>
      </c>
      <c r="N50" s="7">
        <v>2.6699797939339802E-7</v>
      </c>
      <c r="O50" s="7">
        <f t="shared" si="3"/>
        <v>33.062607612349773</v>
      </c>
      <c r="P50" s="7">
        <f t="shared" si="8"/>
        <v>2.9357705416464916E-2</v>
      </c>
    </row>
    <row r="51" spans="1:22" s="7" customFormat="1">
      <c r="A51" s="7" t="s">
        <v>148</v>
      </c>
      <c r="B51" s="7">
        <v>27</v>
      </c>
      <c r="C51" s="7">
        <v>24</v>
      </c>
      <c r="D51" s="7">
        <v>3</v>
      </c>
      <c r="E51" s="7">
        <v>27.42</v>
      </c>
      <c r="F51" s="7">
        <v>27.38</v>
      </c>
      <c r="G51" s="7">
        <v>27.31</v>
      </c>
      <c r="H51" s="7">
        <f t="shared" si="0"/>
        <v>27.37</v>
      </c>
      <c r="I51" s="7">
        <f t="shared" si="1"/>
        <v>5.5677643628301583E-2</v>
      </c>
      <c r="J51" s="7" t="s">
        <v>118</v>
      </c>
      <c r="K51" s="7">
        <v>9.3874999999999993</v>
      </c>
      <c r="L51" s="7">
        <v>2.02</v>
      </c>
      <c r="M51" s="7">
        <f t="shared" si="2"/>
        <v>4.3906924563043312E-9</v>
      </c>
      <c r="N51" s="7">
        <v>1.7267647536652617E-7</v>
      </c>
      <c r="O51" s="7">
        <f t="shared" si="3"/>
        <v>39.327845683791949</v>
      </c>
      <c r="P51" s="7">
        <f t="shared" si="8"/>
        <v>2.4796762213407972E-2</v>
      </c>
    </row>
    <row r="52" spans="1:22" s="7" customFormat="1">
      <c r="A52" s="7" t="s">
        <v>149</v>
      </c>
      <c r="B52" s="7">
        <v>27</v>
      </c>
      <c r="C52" s="7">
        <v>24</v>
      </c>
      <c r="D52" s="7">
        <v>3</v>
      </c>
      <c r="E52" s="7">
        <v>27.21</v>
      </c>
      <c r="F52" s="7">
        <v>27.32</v>
      </c>
      <c r="G52" s="7">
        <v>27.34</v>
      </c>
      <c r="H52" s="7">
        <f t="shared" si="0"/>
        <v>27.290000000000003</v>
      </c>
      <c r="I52" s="7">
        <f t="shared" si="1"/>
        <v>6.9999999999999521E-2</v>
      </c>
      <c r="J52" s="7" t="s">
        <v>16</v>
      </c>
      <c r="K52" s="7">
        <v>9.8187499999999996</v>
      </c>
      <c r="L52" s="7">
        <v>2.02</v>
      </c>
      <c r="M52" s="7">
        <f t="shared" si="2"/>
        <v>4.6447369992626232E-9</v>
      </c>
      <c r="N52" s="7">
        <v>2.0168607763130727E-7</v>
      </c>
      <c r="O52" s="7">
        <f t="shared" si="3"/>
        <v>43.422496830999478</v>
      </c>
      <c r="P52" s="7">
        <f t="shared" si="8"/>
        <v>2.2511116468855643E-2</v>
      </c>
    </row>
    <row r="53" spans="1:22" s="6" customFormat="1">
      <c r="A53" s="6" t="s">
        <v>235</v>
      </c>
      <c r="B53" s="6">
        <v>30</v>
      </c>
      <c r="C53" s="6">
        <v>24</v>
      </c>
      <c r="D53" s="6">
        <v>1</v>
      </c>
      <c r="E53" s="6">
        <v>27.74</v>
      </c>
      <c r="F53" s="6">
        <v>27.77</v>
      </c>
      <c r="G53" s="6">
        <v>27.68</v>
      </c>
      <c r="H53" s="6">
        <f t="shared" si="0"/>
        <v>27.73</v>
      </c>
      <c r="I53" s="6">
        <f t="shared" si="1"/>
        <v>4.5825756949558198E-2</v>
      </c>
      <c r="J53" s="6" t="s">
        <v>9</v>
      </c>
      <c r="K53" s="6">
        <v>4.3499999999999996</v>
      </c>
      <c r="L53" s="6">
        <v>2.02</v>
      </c>
      <c r="M53" s="6">
        <f t="shared" si="2"/>
        <v>3.4088392772966618E-9</v>
      </c>
      <c r="N53" s="6">
        <v>1.2752961387952905E-7</v>
      </c>
      <c r="O53" s="6">
        <f t="shared" si="3"/>
        <v>37.411448151543496</v>
      </c>
      <c r="P53" s="6">
        <f t="shared" si="8"/>
        <v>2.6033905205935768E-2</v>
      </c>
      <c r="Q53" s="6">
        <f>AVERAGE(P53:P55)</f>
        <v>5.0477550834860836E-2</v>
      </c>
    </row>
    <row r="54" spans="1:22" s="6" customFormat="1">
      <c r="A54" s="6" t="s">
        <v>236</v>
      </c>
      <c r="B54" s="6">
        <v>30</v>
      </c>
      <c r="C54" s="6">
        <v>24</v>
      </c>
      <c r="D54" s="6">
        <v>1</v>
      </c>
      <c r="E54" s="6">
        <v>24.09</v>
      </c>
      <c r="F54" s="6">
        <v>24.15</v>
      </c>
      <c r="G54" s="6">
        <v>24.26</v>
      </c>
      <c r="H54" s="6">
        <f t="shared" si="0"/>
        <v>24.166666666666668</v>
      </c>
      <c r="I54" s="6">
        <f t="shared" si="1"/>
        <v>8.6216781042518134E-2</v>
      </c>
      <c r="J54" s="6">
        <f>AVERAGE(24.08,24.13)</f>
        <v>24.104999999999997</v>
      </c>
      <c r="K54" s="6">
        <v>5.85</v>
      </c>
      <c r="L54" s="6">
        <v>2.02</v>
      </c>
      <c r="M54" s="6">
        <f t="shared" si="2"/>
        <v>4.1751803353625399E-8</v>
      </c>
      <c r="N54" s="6">
        <v>5.3837900011635232E-7</v>
      </c>
      <c r="O54" s="6">
        <f t="shared" si="3"/>
        <v>12.894748414971247</v>
      </c>
      <c r="P54" s="6">
        <f t="shared" si="8"/>
        <v>7.1969637026498792E-2</v>
      </c>
    </row>
    <row r="55" spans="1:22" s="6" customFormat="1">
      <c r="A55" s="6" t="s">
        <v>237</v>
      </c>
      <c r="B55" s="6">
        <v>30</v>
      </c>
      <c r="C55" s="6">
        <v>24</v>
      </c>
      <c r="D55" s="6">
        <v>1</v>
      </c>
      <c r="E55" s="6">
        <v>25.5</v>
      </c>
      <c r="F55" s="6">
        <v>25.7</v>
      </c>
      <c r="G55" s="6">
        <v>25.37</v>
      </c>
      <c r="H55" s="6">
        <f t="shared" si="0"/>
        <v>25.523333333333337</v>
      </c>
      <c r="I55" s="12">
        <f t="shared" si="1"/>
        <v>0.16623276853055494</v>
      </c>
      <c r="J55" s="6" t="s">
        <v>238</v>
      </c>
      <c r="K55" s="6">
        <v>5.7437500000000004</v>
      </c>
      <c r="L55" s="6">
        <v>2.02</v>
      </c>
      <c r="M55" s="6">
        <f t="shared" si="2"/>
        <v>1.6084783282164967E-8</v>
      </c>
      <c r="N55" s="6">
        <v>2.8496427406195101E-7</v>
      </c>
      <c r="O55" s="6">
        <f t="shared" si="3"/>
        <v>17.716388779569282</v>
      </c>
      <c r="P55" s="6">
        <f t="shared" si="8"/>
        <v>5.3429110272147966E-2</v>
      </c>
    </row>
    <row r="56" spans="1:22" s="6" customFormat="1">
      <c r="A56" s="6" t="s">
        <v>83</v>
      </c>
      <c r="B56" s="6">
        <v>30</v>
      </c>
      <c r="C56" s="6">
        <v>24</v>
      </c>
      <c r="D56" s="6">
        <v>2</v>
      </c>
      <c r="E56" s="6">
        <v>25.92</v>
      </c>
      <c r="F56" s="6">
        <v>25.68</v>
      </c>
      <c r="G56" s="6">
        <v>25.61</v>
      </c>
      <c r="H56" s="6">
        <f t="shared" si="0"/>
        <v>25.736666666666668</v>
      </c>
      <c r="I56" s="12">
        <f t="shared" si="1"/>
        <v>0.16258331197676387</v>
      </c>
      <c r="J56" s="6">
        <f>AVERAGE(27.23,27.31)</f>
        <v>27.27</v>
      </c>
      <c r="K56" s="6">
        <v>6.8125</v>
      </c>
      <c r="L56" s="6">
        <v>1.97</v>
      </c>
      <c r="M56" s="6">
        <f t="shared" si="2"/>
        <v>2.6388876017308985E-8</v>
      </c>
      <c r="N56" s="6">
        <v>5.6148102729397659E-7</v>
      </c>
      <c r="O56" s="6">
        <f t="shared" si="3"/>
        <v>21.277186149409701</v>
      </c>
      <c r="P56" s="6">
        <f t="shared" si="8"/>
        <v>4.4888972659884063E-2</v>
      </c>
      <c r="S56" s="11"/>
      <c r="T56" s="11"/>
      <c r="U56" s="11"/>
      <c r="V56" s="11"/>
    </row>
    <row r="57" spans="1:22" s="6" customFormat="1">
      <c r="A57" s="6" t="s">
        <v>84</v>
      </c>
      <c r="B57" s="6">
        <v>30</v>
      </c>
      <c r="C57" s="6">
        <v>24</v>
      </c>
      <c r="D57" s="6">
        <v>2</v>
      </c>
      <c r="E57" s="6">
        <v>26.79</v>
      </c>
      <c r="F57" s="6">
        <v>26.82</v>
      </c>
      <c r="G57" s="6">
        <v>26.45</v>
      </c>
      <c r="H57" s="6">
        <f t="shared" si="0"/>
        <v>26.686666666666667</v>
      </c>
      <c r="I57" s="12">
        <f t="shared" si="1"/>
        <v>0.20550750189064498</v>
      </c>
      <c r="J57" s="6" t="s">
        <v>129</v>
      </c>
      <c r="K57" s="6">
        <v>5.4</v>
      </c>
      <c r="L57" s="6">
        <v>1.97</v>
      </c>
      <c r="M57" s="6">
        <f t="shared" si="2"/>
        <v>1.3857279535150778E-8</v>
      </c>
      <c r="N57" s="6">
        <v>6.2681206105413017E-7</v>
      </c>
      <c r="O57" s="6">
        <f t="shared" si="3"/>
        <v>45.233413922562541</v>
      </c>
      <c r="P57" s="6">
        <f t="shared" si="8"/>
        <v>2.162937830364256E-2</v>
      </c>
      <c r="S57" s="33"/>
      <c r="T57" s="33"/>
      <c r="U57" s="33"/>
      <c r="V57" s="33"/>
    </row>
    <row r="58" spans="1:22" s="6" customFormat="1">
      <c r="A58" s="6" t="s">
        <v>214</v>
      </c>
      <c r="B58" s="6">
        <v>30</v>
      </c>
      <c r="C58" s="6">
        <v>24</v>
      </c>
      <c r="D58" s="6">
        <v>2</v>
      </c>
      <c r="E58" s="6">
        <v>25.58</v>
      </c>
      <c r="F58" s="6">
        <v>25.7</v>
      </c>
      <c r="G58" s="6">
        <v>25.54</v>
      </c>
      <c r="H58" s="6">
        <f t="shared" si="0"/>
        <v>25.606666666666666</v>
      </c>
      <c r="I58" s="6">
        <f t="shared" si="1"/>
        <v>8.3266639978645529E-2</v>
      </c>
      <c r="J58" s="6">
        <f>AVERAGE(30.36,30.97)</f>
        <v>30.664999999999999</v>
      </c>
      <c r="K58" s="6">
        <v>6.7</v>
      </c>
      <c r="L58" s="6">
        <v>1.97</v>
      </c>
      <c r="M58" s="6">
        <f t="shared" si="2"/>
        <v>2.8820499407643063E-8</v>
      </c>
      <c r="N58" s="6">
        <v>1.3972125869435717E-6</v>
      </c>
      <c r="O58" s="6">
        <f t="shared" si="3"/>
        <v>48.479818728367952</v>
      </c>
      <c r="P58" s="6">
        <f t="shared" si="8"/>
        <v>2.0210259974672792E-2</v>
      </c>
    </row>
    <row r="59" spans="1:22" s="6" customFormat="1">
      <c r="A59" s="6" t="s">
        <v>35</v>
      </c>
      <c r="B59" s="6">
        <v>30</v>
      </c>
      <c r="C59" s="6">
        <v>24</v>
      </c>
      <c r="D59" s="6">
        <v>3</v>
      </c>
      <c r="E59" s="6">
        <v>24.7</v>
      </c>
      <c r="F59" s="6">
        <v>24.71</v>
      </c>
      <c r="G59" s="6">
        <v>24.7</v>
      </c>
      <c r="H59" s="6">
        <f t="shared" si="0"/>
        <v>24.703333333333333</v>
      </c>
      <c r="I59" s="6">
        <f t="shared" si="1"/>
        <v>5.77350269189716E-3</v>
      </c>
      <c r="J59" s="6">
        <f>J58-J56</f>
        <v>3.3949999999999996</v>
      </c>
      <c r="K59" s="6">
        <v>3.45</v>
      </c>
      <c r="L59" s="6">
        <v>1.97</v>
      </c>
      <c r="M59" s="6">
        <f t="shared" si="2"/>
        <v>5.3174407534282804E-8</v>
      </c>
      <c r="N59" s="6">
        <v>4.230606330642425E-6</v>
      </c>
      <c r="O59" s="6">
        <f t="shared" si="3"/>
        <v>79.560949088428544</v>
      </c>
      <c r="P59" s="6">
        <f t="shared" si="8"/>
        <v>1.2412962003493032E-2</v>
      </c>
    </row>
    <row r="60" spans="1:22" s="6" customFormat="1">
      <c r="A60" s="6" t="s">
        <v>154</v>
      </c>
      <c r="B60" s="6">
        <v>30</v>
      </c>
      <c r="C60" s="6">
        <v>24</v>
      </c>
      <c r="D60" s="6">
        <v>3</v>
      </c>
      <c r="E60" s="6">
        <v>24.39</v>
      </c>
      <c r="F60" s="6">
        <v>24.31</v>
      </c>
      <c r="G60" s="6">
        <v>24.31</v>
      </c>
      <c r="H60" s="6">
        <f t="shared" si="0"/>
        <v>24.33666666666667</v>
      </c>
      <c r="I60" s="6">
        <f t="shared" si="1"/>
        <v>4.6188021535171125E-2</v>
      </c>
      <c r="J60" s="6">
        <f>J56-J54</f>
        <v>3.1650000000000027</v>
      </c>
      <c r="K60" s="6">
        <v>1.5687500000000001</v>
      </c>
      <c r="L60" s="6">
        <v>1.97</v>
      </c>
      <c r="M60" s="6">
        <f t="shared" si="2"/>
        <v>6.8182608038058716E-8</v>
      </c>
      <c r="N60" s="6">
        <v>1.7517210774013706E-6</v>
      </c>
      <c r="O60" s="6">
        <f t="shared" si="3"/>
        <v>25.691611509251462</v>
      </c>
      <c r="P60" s="6">
        <f t="shared" si="8"/>
        <v>3.7464954098159052E-2</v>
      </c>
    </row>
    <row r="61" spans="1:22" s="7" customFormat="1">
      <c r="A61" s="7" t="s">
        <v>110</v>
      </c>
      <c r="B61" s="7">
        <v>27</v>
      </c>
      <c r="C61" s="7">
        <v>48</v>
      </c>
      <c r="D61" s="7">
        <v>1</v>
      </c>
      <c r="E61" s="7">
        <v>24.88</v>
      </c>
      <c r="F61" s="7">
        <v>24.74</v>
      </c>
      <c r="G61" s="7">
        <v>24.66</v>
      </c>
      <c r="H61" s="7">
        <f t="shared" si="0"/>
        <v>24.76</v>
      </c>
      <c r="I61" s="7">
        <f t="shared" si="1"/>
        <v>0.11135528725659997</v>
      </c>
      <c r="J61" s="7">
        <f>AVERAGE(J59:J60)</f>
        <v>3.2800000000000011</v>
      </c>
      <c r="K61" s="7">
        <v>4.0187499999999998</v>
      </c>
      <c r="L61" s="7">
        <v>1.97</v>
      </c>
      <c r="M61" s="7">
        <f t="shared" si="2"/>
        <v>5.1170097000090886E-8</v>
      </c>
      <c r="N61" s="7">
        <v>2.3596240172029317E-6</v>
      </c>
      <c r="O61" s="7">
        <f t="shared" si="3"/>
        <v>46.113338757179619</v>
      </c>
      <c r="P61" s="7">
        <f t="shared" si="8"/>
        <v>2.1225411452029806E-2</v>
      </c>
      <c r="Q61" s="7">
        <f>AVERAGE(P67:P69)</f>
        <v>2.6890632595109334E-2</v>
      </c>
    </row>
    <row r="62" spans="1:22" s="7" customFormat="1">
      <c r="A62" s="7" t="s">
        <v>111</v>
      </c>
      <c r="B62" s="7">
        <v>27</v>
      </c>
      <c r="C62" s="7">
        <v>48</v>
      </c>
      <c r="D62" s="7">
        <v>1</v>
      </c>
      <c r="E62" s="7">
        <v>23.92</v>
      </c>
      <c r="F62" s="7">
        <v>23.91</v>
      </c>
      <c r="G62" s="7">
        <v>23.92</v>
      </c>
      <c r="H62" s="7">
        <f t="shared" si="0"/>
        <v>23.916666666666668</v>
      </c>
      <c r="I62" s="7">
        <f t="shared" si="1"/>
        <v>5.77350269189716E-3</v>
      </c>
      <c r="J62" s="7" t="s">
        <v>119</v>
      </c>
      <c r="K62" s="7">
        <v>7.7374999999999998</v>
      </c>
      <c r="L62" s="7">
        <v>1.97</v>
      </c>
      <c r="M62" s="7">
        <f t="shared" si="2"/>
        <v>9.0646162773998532E-8</v>
      </c>
      <c r="N62" s="7">
        <v>4.6333108417692796E-6</v>
      </c>
      <c r="O62" s="7">
        <f t="shared" si="3"/>
        <v>51.114252385080832</v>
      </c>
      <c r="P62" s="7">
        <f t="shared" si="8"/>
        <v>1.9188608763123657E-2</v>
      </c>
    </row>
    <row r="63" spans="1:22" s="7" customFormat="1">
      <c r="A63" s="7" t="s">
        <v>112</v>
      </c>
      <c r="B63" s="7">
        <v>27</v>
      </c>
      <c r="C63" s="7">
        <v>48</v>
      </c>
      <c r="D63" s="7">
        <v>1</v>
      </c>
      <c r="E63" s="7">
        <v>23.55</v>
      </c>
      <c r="F63" s="7">
        <v>23.51</v>
      </c>
      <c r="G63" s="7">
        <v>23.58</v>
      </c>
      <c r="H63" s="7">
        <f t="shared" si="0"/>
        <v>23.546666666666667</v>
      </c>
      <c r="I63" s="7">
        <f t="shared" si="1"/>
        <v>3.5118845842840869E-2</v>
      </c>
      <c r="J63" s="7" t="s">
        <v>120</v>
      </c>
      <c r="K63" s="7">
        <v>8.3187499999999996</v>
      </c>
      <c r="L63" s="7">
        <v>1.97</v>
      </c>
      <c r="M63" s="7">
        <f t="shared" si="2"/>
        <v>1.1649356285265245E-7</v>
      </c>
      <c r="N63" s="7">
        <v>4.9781367601427845E-6</v>
      </c>
      <c r="O63" s="7">
        <f t="shared" si="3"/>
        <v>42.733148838785276</v>
      </c>
      <c r="P63" s="7">
        <f t="shared" si="8"/>
        <v>2.2865950121413115E-2</v>
      </c>
    </row>
    <row r="64" spans="1:22" s="7" customFormat="1">
      <c r="A64" s="7" t="s">
        <v>113</v>
      </c>
      <c r="B64" s="7">
        <v>27</v>
      </c>
      <c r="C64" s="7">
        <v>48</v>
      </c>
      <c r="D64" s="7">
        <v>2</v>
      </c>
      <c r="E64" s="7">
        <v>24.73</v>
      </c>
      <c r="F64" s="7">
        <v>24.49</v>
      </c>
      <c r="G64" s="7">
        <v>24.53</v>
      </c>
      <c r="H64" s="7">
        <f t="shared" si="0"/>
        <v>24.583333333333332</v>
      </c>
      <c r="I64" s="7">
        <f t="shared" si="1"/>
        <v>0.12858201014657331</v>
      </c>
      <c r="K64" s="7">
        <v>5.95</v>
      </c>
      <c r="L64" s="7">
        <v>1.97</v>
      </c>
      <c r="M64" s="7">
        <f t="shared" si="2"/>
        <v>5.7681773766183696E-8</v>
      </c>
      <c r="N64" s="7">
        <v>2.8370019367721149E-6</v>
      </c>
      <c r="O64" s="7">
        <f t="shared" si="3"/>
        <v>49.18368058985255</v>
      </c>
      <c r="P64" s="7">
        <f t="shared" si="8"/>
        <v>1.9926796684621936E-2</v>
      </c>
    </row>
    <row r="65" spans="1:17" s="7" customFormat="1">
      <c r="A65" s="7" t="s">
        <v>125</v>
      </c>
      <c r="B65" s="7">
        <v>27</v>
      </c>
      <c r="C65" s="7">
        <v>48</v>
      </c>
      <c r="D65" s="7">
        <v>2</v>
      </c>
      <c r="E65" s="7">
        <v>23.31</v>
      </c>
      <c r="F65" s="7">
        <v>23.33</v>
      </c>
      <c r="G65" s="7">
        <v>23.18</v>
      </c>
      <c r="H65" s="7">
        <f t="shared" ref="H65:H78" si="9">AVERAGE(E65:G65)</f>
        <v>23.27333333333333</v>
      </c>
      <c r="I65" s="7">
        <f t="shared" ref="I65:I78" si="10">STDEV(E65:G65)</f>
        <v>8.144527815247006E-2</v>
      </c>
      <c r="K65" s="7">
        <v>3.109375</v>
      </c>
      <c r="L65" s="7">
        <v>1.97</v>
      </c>
      <c r="M65" s="7">
        <f t="shared" ref="M65:M78" si="11">1/(L65^H65)</f>
        <v>1.4021334918216328E-7</v>
      </c>
      <c r="N65" s="7">
        <v>2.9477218786080143E-6</v>
      </c>
      <c r="O65" s="7">
        <f t="shared" ref="O65:O78" si="12">N65/M65</f>
        <v>21.023118667384331</v>
      </c>
      <c r="P65" s="7">
        <f t="shared" si="8"/>
        <v>4.5406829754814616E-2</v>
      </c>
    </row>
    <row r="66" spans="1:17" s="7" customFormat="1">
      <c r="A66" s="7" t="s">
        <v>126</v>
      </c>
      <c r="B66" s="7">
        <v>27</v>
      </c>
      <c r="C66" s="7">
        <v>48</v>
      </c>
      <c r="D66" s="7">
        <v>2</v>
      </c>
      <c r="E66" s="7">
        <v>25.42</v>
      </c>
      <c r="F66" s="7">
        <v>25.58</v>
      </c>
      <c r="G66" s="7">
        <v>25.44</v>
      </c>
      <c r="H66" s="7">
        <f t="shared" si="9"/>
        <v>25.48</v>
      </c>
      <c r="I66" s="7">
        <f t="shared" si="10"/>
        <v>8.7177978870811607E-2</v>
      </c>
      <c r="J66" s="7" t="s">
        <v>165</v>
      </c>
      <c r="K66" s="7">
        <v>3.5249999999999999</v>
      </c>
      <c r="L66" s="7">
        <v>1.97</v>
      </c>
      <c r="M66" s="7">
        <f t="shared" si="11"/>
        <v>3.1405127246179048E-8</v>
      </c>
      <c r="N66" s="7">
        <v>1.2485934465681274E-6</v>
      </c>
      <c r="O66" s="7">
        <f t="shared" si="12"/>
        <v>39.75763055441972</v>
      </c>
      <c r="P66" s="7">
        <f t="shared" ref="P66:P78" si="13">M66/(M66+N66)</f>
        <v>2.4535282998475509E-2</v>
      </c>
    </row>
    <row r="67" spans="1:17" s="7" customFormat="1">
      <c r="A67" s="7" t="s">
        <v>127</v>
      </c>
      <c r="B67" s="7">
        <v>27</v>
      </c>
      <c r="C67" s="7">
        <v>48</v>
      </c>
      <c r="D67" s="7">
        <v>3</v>
      </c>
      <c r="E67" s="7">
        <v>25.71</v>
      </c>
      <c r="F67" s="7">
        <v>25.74</v>
      </c>
      <c r="G67" s="7">
        <v>25.69</v>
      </c>
      <c r="H67" s="7">
        <f t="shared" si="9"/>
        <v>25.713333333333335</v>
      </c>
      <c r="I67" s="7">
        <f t="shared" si="10"/>
        <v>2.5166114784234354E-2</v>
      </c>
      <c r="J67" s="7" t="s">
        <v>9</v>
      </c>
      <c r="K67" s="7">
        <v>4.2249999999999996</v>
      </c>
      <c r="L67" s="7">
        <v>1.97</v>
      </c>
      <c r="M67" s="7">
        <f t="shared" si="11"/>
        <v>2.6809688705254309E-8</v>
      </c>
      <c r="N67" s="7">
        <v>9.1919164975969211E-7</v>
      </c>
      <c r="O67" s="7">
        <f t="shared" si="12"/>
        <v>34.285800923139547</v>
      </c>
      <c r="P67" s="7">
        <f t="shared" si="13"/>
        <v>2.8340011388099877E-2</v>
      </c>
    </row>
    <row r="68" spans="1:17" s="7" customFormat="1">
      <c r="A68" s="7" t="s">
        <v>128</v>
      </c>
      <c r="B68" s="7">
        <v>27</v>
      </c>
      <c r="C68" s="7">
        <v>48</v>
      </c>
      <c r="D68" s="7">
        <v>3</v>
      </c>
      <c r="E68" s="7">
        <v>25.88</v>
      </c>
      <c r="F68" s="7">
        <v>26</v>
      </c>
      <c r="G68" s="7">
        <v>25.89</v>
      </c>
      <c r="H68" s="7">
        <f t="shared" si="9"/>
        <v>25.923333333333332</v>
      </c>
      <c r="I68" s="7">
        <f t="shared" si="10"/>
        <v>6.6583281184794105E-2</v>
      </c>
      <c r="J68" s="7">
        <f>AVERAGE(24.1,24.05,24.07)</f>
        <v>24.073333333333334</v>
      </c>
      <c r="K68" s="7">
        <v>6.1437499999999998</v>
      </c>
      <c r="L68" s="7">
        <v>1.97</v>
      </c>
      <c r="M68" s="7">
        <f t="shared" si="11"/>
        <v>2.3251654645743E-8</v>
      </c>
      <c r="N68" s="7">
        <v>7.1840703767927837E-7</v>
      </c>
      <c r="O68" s="7">
        <f t="shared" si="12"/>
        <v>30.897028560967684</v>
      </c>
      <c r="P68" s="7">
        <f t="shared" si="13"/>
        <v>3.1350882671989627E-2</v>
      </c>
    </row>
    <row r="69" spans="1:17" s="7" customFormat="1">
      <c r="A69" s="7" t="s">
        <v>189</v>
      </c>
      <c r="B69" s="7">
        <v>27</v>
      </c>
      <c r="C69" s="7">
        <v>48</v>
      </c>
      <c r="D69" s="7">
        <v>3</v>
      </c>
      <c r="E69" s="7">
        <v>26.68</v>
      </c>
      <c r="F69" s="7">
        <v>26.56</v>
      </c>
      <c r="G69" s="7">
        <v>26.46</v>
      </c>
      <c r="H69" s="7">
        <f t="shared" si="9"/>
        <v>26.566666666666663</v>
      </c>
      <c r="I69" s="7">
        <f t="shared" si="10"/>
        <v>0.11015141094572152</v>
      </c>
      <c r="J69" s="7" t="s">
        <v>238</v>
      </c>
      <c r="K69" s="7">
        <v>4.2874999999999996</v>
      </c>
      <c r="L69" s="7">
        <v>1.97</v>
      </c>
      <c r="M69" s="7">
        <f t="shared" si="11"/>
        <v>1.5031901627601561E-8</v>
      </c>
      <c r="N69" s="7">
        <v>7.0142103000785498E-7</v>
      </c>
      <c r="O69" s="7">
        <f t="shared" si="12"/>
        <v>46.66216207268856</v>
      </c>
      <c r="P69" s="7">
        <f t="shared" si="13"/>
        <v>2.0981003725238503E-2</v>
      </c>
    </row>
    <row r="70" spans="1:17" s="6" customFormat="1">
      <c r="A70" s="6" t="s">
        <v>190</v>
      </c>
      <c r="B70" s="6">
        <v>30</v>
      </c>
      <c r="C70" s="6">
        <v>48</v>
      </c>
      <c r="D70" s="6">
        <v>1</v>
      </c>
      <c r="E70" s="6">
        <v>25.34</v>
      </c>
      <c r="F70" s="6">
        <v>25.41</v>
      </c>
      <c r="G70" s="6">
        <v>25.45</v>
      </c>
      <c r="H70" s="6">
        <f t="shared" si="9"/>
        <v>25.400000000000002</v>
      </c>
      <c r="I70" s="6">
        <f t="shared" si="10"/>
        <v>5.5677643628299987E-2</v>
      </c>
      <c r="J70" s="6">
        <v>27.055</v>
      </c>
      <c r="K70" s="6">
        <v>4.1124999999999998</v>
      </c>
      <c r="L70" s="6">
        <v>1.97</v>
      </c>
      <c r="M70" s="6">
        <f t="shared" si="11"/>
        <v>3.3155673593045831E-8</v>
      </c>
      <c r="N70" s="6">
        <v>1.1565577042927758E-6</v>
      </c>
      <c r="O70" s="6">
        <f t="shared" si="12"/>
        <v>34.882648396422738</v>
      </c>
      <c r="P70" s="6">
        <f t="shared" si="13"/>
        <v>2.7868622988811868E-2</v>
      </c>
    </row>
    <row r="71" spans="1:17" s="6" customFormat="1">
      <c r="A71" s="6" t="s">
        <v>191</v>
      </c>
      <c r="B71" s="6">
        <v>30</v>
      </c>
      <c r="C71" s="6">
        <v>48</v>
      </c>
      <c r="D71" s="6">
        <v>1</v>
      </c>
      <c r="E71" s="6">
        <v>24.3</v>
      </c>
      <c r="F71" s="6">
        <v>24.37</v>
      </c>
      <c r="G71" s="6">
        <v>24.43</v>
      </c>
      <c r="H71" s="6">
        <f t="shared" si="9"/>
        <v>24.366666666666664</v>
      </c>
      <c r="I71" s="6">
        <f t="shared" si="10"/>
        <v>6.5064070986476638E-2</v>
      </c>
      <c r="J71" s="6" t="s">
        <v>129</v>
      </c>
      <c r="K71" s="6">
        <v>7.125</v>
      </c>
      <c r="L71" s="6">
        <v>1.97</v>
      </c>
      <c r="M71" s="6">
        <f t="shared" si="11"/>
        <v>6.6809715523839492E-8</v>
      </c>
      <c r="N71" s="6">
        <v>3.4437623587494649E-6</v>
      </c>
      <c r="O71" s="6">
        <f t="shared" si="12"/>
        <v>51.545831796284759</v>
      </c>
      <c r="P71" s="6">
        <f t="shared" si="13"/>
        <v>1.9031005235142263E-2</v>
      </c>
    </row>
    <row r="72" spans="1:17" s="6" customFormat="1">
      <c r="A72" s="6" t="s">
        <v>192</v>
      </c>
      <c r="B72" s="6">
        <v>30</v>
      </c>
      <c r="C72" s="6">
        <v>48</v>
      </c>
      <c r="D72" s="6">
        <v>1</v>
      </c>
      <c r="E72" s="6">
        <v>25.43</v>
      </c>
      <c r="F72" s="6">
        <v>25.34</v>
      </c>
      <c r="G72" s="6">
        <v>25.34</v>
      </c>
      <c r="H72" s="6">
        <f t="shared" si="9"/>
        <v>25.37</v>
      </c>
      <c r="I72" s="6">
        <f t="shared" si="10"/>
        <v>5.1961524227066236E-2</v>
      </c>
      <c r="J72" s="6">
        <v>30.86</v>
      </c>
      <c r="K72" s="6">
        <v>5.4874999999999998</v>
      </c>
      <c r="L72" s="6">
        <v>1.97</v>
      </c>
      <c r="M72" s="6">
        <f t="shared" si="11"/>
        <v>3.383699929130542E-8</v>
      </c>
      <c r="N72" s="6">
        <v>1.309798961873862E-6</v>
      </c>
      <c r="O72" s="6">
        <f t="shared" si="12"/>
        <v>38.709075547677806</v>
      </c>
      <c r="P72" s="6">
        <f t="shared" si="13"/>
        <v>2.5183159925224703E-2</v>
      </c>
    </row>
    <row r="73" spans="1:17" s="6" customFormat="1">
      <c r="A73" s="6" t="s">
        <v>193</v>
      </c>
      <c r="B73" s="6">
        <v>30</v>
      </c>
      <c r="C73" s="6">
        <v>48</v>
      </c>
      <c r="D73" s="6">
        <v>2</v>
      </c>
      <c r="E73" s="6">
        <v>25.21</v>
      </c>
      <c r="F73" s="6">
        <v>25.28</v>
      </c>
      <c r="G73" s="6">
        <v>25.16</v>
      </c>
      <c r="H73" s="6">
        <f t="shared" si="9"/>
        <v>25.216666666666669</v>
      </c>
      <c r="I73" s="6">
        <f t="shared" si="10"/>
        <v>6.0277137733417564E-2</v>
      </c>
      <c r="J73" s="6" t="s">
        <v>109</v>
      </c>
      <c r="K73" s="6">
        <v>10.725</v>
      </c>
      <c r="L73" s="6">
        <v>1.97</v>
      </c>
      <c r="M73" s="6">
        <f t="shared" si="11"/>
        <v>3.7544241112511674E-8</v>
      </c>
      <c r="N73" s="6">
        <v>1.4140292300568551E-6</v>
      </c>
      <c r="O73" s="6">
        <f t="shared" si="12"/>
        <v>37.663012705978701</v>
      </c>
      <c r="P73" s="6">
        <f t="shared" si="13"/>
        <v>2.586451313571236E-2</v>
      </c>
    </row>
    <row r="74" spans="1:17" s="6" customFormat="1">
      <c r="A74" s="6" t="s">
        <v>194</v>
      </c>
      <c r="B74" s="6">
        <v>30</v>
      </c>
      <c r="C74" s="6">
        <v>48</v>
      </c>
      <c r="D74" s="6">
        <v>2</v>
      </c>
      <c r="E74" s="12">
        <v>24.43</v>
      </c>
      <c r="F74" s="6">
        <v>24</v>
      </c>
      <c r="G74" s="6">
        <v>23.95</v>
      </c>
      <c r="H74" s="6">
        <f>AVERAGE(F74:G74)</f>
        <v>23.975000000000001</v>
      </c>
      <c r="I74" s="6">
        <f>STDEV(F74:G74)</f>
        <v>3.5355339059327882E-2</v>
      </c>
      <c r="J74" s="6" t="s">
        <v>144</v>
      </c>
      <c r="K74" s="6">
        <v>7.6812500000000004</v>
      </c>
      <c r="L74" s="6">
        <v>1.97</v>
      </c>
      <c r="M74" s="6">
        <f t="shared" si="11"/>
        <v>8.7130905570707084E-8</v>
      </c>
      <c r="N74" s="6">
        <v>2.7965626629042131E-6</v>
      </c>
      <c r="O74" s="6">
        <f t="shared" si="12"/>
        <v>32.09610464377409</v>
      </c>
      <c r="P74" s="6">
        <f t="shared" si="13"/>
        <v>3.0215036203304853E-2</v>
      </c>
    </row>
    <row r="75" spans="1:17" s="6" customFormat="1">
      <c r="A75" s="6" t="s">
        <v>161</v>
      </c>
      <c r="B75" s="6">
        <v>30</v>
      </c>
      <c r="C75" s="6">
        <v>48</v>
      </c>
      <c r="D75" s="6">
        <v>2</v>
      </c>
      <c r="E75" s="6">
        <v>25.32</v>
      </c>
      <c r="F75" s="6">
        <v>25.2</v>
      </c>
      <c r="G75" s="6">
        <v>25.24</v>
      </c>
      <c r="H75" s="6">
        <f t="shared" si="9"/>
        <v>25.25333333333333</v>
      </c>
      <c r="I75" s="6">
        <f t="shared" si="10"/>
        <v>6.1101009266078504E-2</v>
      </c>
      <c r="J75" s="6" t="s">
        <v>150</v>
      </c>
      <c r="K75" s="6">
        <v>12.3</v>
      </c>
      <c r="L75" s="6">
        <v>1.97</v>
      </c>
      <c r="M75" s="6">
        <f t="shared" si="11"/>
        <v>3.6622352231460734E-8</v>
      </c>
      <c r="N75" s="6">
        <v>4.883749582958217E-6</v>
      </c>
      <c r="O75" s="12">
        <f t="shared" si="12"/>
        <v>133.35433923227879</v>
      </c>
      <c r="P75" s="6">
        <f t="shared" si="13"/>
        <v>7.4430048609829252E-3</v>
      </c>
      <c r="Q75" s="6">
        <f>AVERAGE(P76:P78)</f>
        <v>5.1288129617677057E-2</v>
      </c>
    </row>
    <row r="76" spans="1:17" s="6" customFormat="1">
      <c r="A76" s="6" t="s">
        <v>162</v>
      </c>
      <c r="B76" s="6">
        <v>30</v>
      </c>
      <c r="C76" s="6">
        <v>48</v>
      </c>
      <c r="D76" s="6">
        <v>3</v>
      </c>
      <c r="E76" s="6">
        <v>23.24</v>
      </c>
      <c r="F76" s="6">
        <v>23.26</v>
      </c>
      <c r="G76" s="6">
        <v>23.29</v>
      </c>
      <c r="H76" s="6">
        <f t="shared" si="9"/>
        <v>23.263333333333332</v>
      </c>
      <c r="I76" s="6">
        <f t="shared" si="10"/>
        <v>2.5166114784236002E-2</v>
      </c>
      <c r="K76" s="6">
        <v>15.525</v>
      </c>
      <c r="L76" s="6">
        <v>1.97</v>
      </c>
      <c r="M76" s="6">
        <f t="shared" si="11"/>
        <v>1.4116727302830074E-7</v>
      </c>
      <c r="N76" s="6">
        <v>1.9345987658477802E-6</v>
      </c>
      <c r="O76" s="6">
        <f t="shared" si="12"/>
        <v>13.704300751491731</v>
      </c>
      <c r="P76" s="6">
        <f t="shared" si="13"/>
        <v>6.8007314111726891E-2</v>
      </c>
    </row>
    <row r="77" spans="1:17" s="6" customFormat="1">
      <c r="A77" s="6" t="s">
        <v>163</v>
      </c>
      <c r="B77" s="6">
        <v>30</v>
      </c>
      <c r="C77" s="6">
        <v>48</v>
      </c>
      <c r="D77" s="6">
        <v>3</v>
      </c>
      <c r="E77" s="6">
        <v>23.76</v>
      </c>
      <c r="F77" s="6">
        <v>23.73</v>
      </c>
      <c r="G77" s="6">
        <v>23.78</v>
      </c>
      <c r="H77" s="6">
        <f t="shared" si="9"/>
        <v>23.756666666666671</v>
      </c>
      <c r="I77" s="6">
        <f t="shared" si="10"/>
        <v>2.5166114784236235E-2</v>
      </c>
      <c r="J77" s="6">
        <f>J72-J70</f>
        <v>3.8049999999999997</v>
      </c>
      <c r="K77" s="6">
        <v>5.7249999999999996</v>
      </c>
      <c r="L77" s="6">
        <v>1.97</v>
      </c>
      <c r="M77" s="6">
        <f t="shared" si="11"/>
        <v>1.0103317952256404E-7</v>
      </c>
      <c r="N77" s="6">
        <v>2.2279349123458697E-6</v>
      </c>
      <c r="O77" s="6">
        <f t="shared" si="12"/>
        <v>22.05151736166334</v>
      </c>
      <c r="P77" s="6">
        <f t="shared" si="13"/>
        <v>4.3381092199296444E-2</v>
      </c>
      <c r="Q77" s="6">
        <f>AVERAGE(P73:P75)</f>
        <v>2.1174184733333379E-2</v>
      </c>
    </row>
    <row r="78" spans="1:17" s="6" customFormat="1">
      <c r="A78" s="6" t="s">
        <v>65</v>
      </c>
      <c r="B78" s="6">
        <v>30</v>
      </c>
      <c r="C78" s="6">
        <v>48</v>
      </c>
      <c r="D78" s="6">
        <v>3</v>
      </c>
      <c r="E78" s="6">
        <v>25.06</v>
      </c>
      <c r="F78" s="6">
        <v>25.02</v>
      </c>
      <c r="G78" s="6">
        <v>25.12</v>
      </c>
      <c r="H78" s="6">
        <f t="shared" si="9"/>
        <v>25.066666666666666</v>
      </c>
      <c r="I78" s="6">
        <f t="shared" si="10"/>
        <v>5.0332229568472477E-2</v>
      </c>
      <c r="J78" s="6">
        <f>J70-J68</f>
        <v>2.9816666666666656</v>
      </c>
      <c r="K78" s="6">
        <v>5.59375</v>
      </c>
      <c r="L78" s="6">
        <v>1.97</v>
      </c>
      <c r="M78" s="6">
        <f t="shared" si="11"/>
        <v>4.1563610298812699E-8</v>
      </c>
      <c r="N78" s="6">
        <v>9.3695666896034693E-7</v>
      </c>
      <c r="O78" s="6">
        <f t="shared" si="12"/>
        <v>22.54271614578948</v>
      </c>
      <c r="P78" s="6">
        <f t="shared" si="13"/>
        <v>4.2475982542007837E-2</v>
      </c>
    </row>
    <row r="79" spans="1:17">
      <c r="A79" t="s">
        <v>257</v>
      </c>
      <c r="G79" s="23" t="s">
        <v>257</v>
      </c>
      <c r="H79" s="23">
        <f>AVERAGE(H2:H78)</f>
        <v>24.762229437229429</v>
      </c>
      <c r="J79">
        <f>AVERAGE(J77:J78)</f>
        <v>3.3933333333333326</v>
      </c>
      <c r="P79" t="s">
        <v>132</v>
      </c>
    </row>
    <row r="80" spans="1:17">
      <c r="A80" t="s">
        <v>135</v>
      </c>
      <c r="G80" s="23" t="s">
        <v>135</v>
      </c>
      <c r="H80" s="23">
        <f>STDEV(H2:H78)</f>
        <v>1.5014006280099639</v>
      </c>
      <c r="J80">
        <f>(J72-J68)/2</f>
        <v>3.3933333333333326</v>
      </c>
      <c r="P80" t="s">
        <v>135</v>
      </c>
    </row>
    <row r="81" spans="10:10">
      <c r="J81" s="5">
        <v>0.97240000000000004</v>
      </c>
    </row>
    <row r="82" spans="10:10">
      <c r="J82">
        <v>1.97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"/>
  <sheetViews>
    <sheetView workbookViewId="0">
      <pane xSplit="4" topLeftCell="E1" activePane="topRight" state="frozen"/>
      <selection pane="topRight" activeCell="O42" sqref="O42"/>
    </sheetView>
  </sheetViews>
  <sheetFormatPr baseColWidth="10" defaultRowHeight="13" x14ac:dyDescent="0"/>
  <cols>
    <col min="1" max="1" width="7.7109375" bestFit="1" customWidth="1"/>
    <col min="2" max="2" width="4.7109375" bestFit="1" customWidth="1"/>
    <col min="3" max="4" width="4.28515625" bestFit="1" customWidth="1"/>
    <col min="5" max="5" width="9.5703125" bestFit="1" customWidth="1"/>
    <col min="6" max="6" width="6" bestFit="1" customWidth="1"/>
    <col min="7" max="7" width="9.5703125" bestFit="1" customWidth="1"/>
    <col min="8" max="8" width="8.28515625" customWidth="1"/>
    <col min="9" max="9" width="7.7109375" customWidth="1"/>
    <col min="11" max="11" width="8.140625" customWidth="1"/>
    <col min="12" max="12" width="10.7109375" customWidth="1"/>
    <col min="13" max="13" width="7" customWidth="1"/>
    <col min="14" max="15" width="9.28515625" customWidth="1"/>
    <col min="16" max="16" width="16.28515625" bestFit="1" customWidth="1"/>
    <col min="17" max="18" width="7.42578125" customWidth="1"/>
    <col min="20" max="20" width="11.7109375" bestFit="1" customWidth="1"/>
    <col min="21" max="21" width="14" customWidth="1"/>
    <col min="22" max="22" width="12.7109375" bestFit="1" customWidth="1"/>
  </cols>
  <sheetData>
    <row r="1" spans="1:25">
      <c r="A1" t="s">
        <v>0</v>
      </c>
      <c r="B1" t="s">
        <v>152</v>
      </c>
      <c r="C1" t="s">
        <v>250</v>
      </c>
      <c r="D1" t="s">
        <v>289</v>
      </c>
      <c r="E1" t="s">
        <v>99</v>
      </c>
      <c r="F1" t="s">
        <v>100</v>
      </c>
      <c r="G1" t="s">
        <v>101</v>
      </c>
      <c r="H1" t="s">
        <v>102</v>
      </c>
      <c r="I1" t="s">
        <v>103</v>
      </c>
      <c r="J1" t="s">
        <v>104</v>
      </c>
      <c r="K1" t="s">
        <v>4</v>
      </c>
      <c r="L1" t="s">
        <v>414</v>
      </c>
      <c r="M1" t="s">
        <v>37</v>
      </c>
      <c r="N1" t="s">
        <v>39</v>
      </c>
      <c r="O1" t="s">
        <v>1073</v>
      </c>
      <c r="P1" t="s">
        <v>406</v>
      </c>
      <c r="Q1" t="s">
        <v>415</v>
      </c>
      <c r="R1" t="s">
        <v>431</v>
      </c>
    </row>
    <row r="2" spans="1:25" s="7" customFormat="1">
      <c r="A2" s="7" t="s">
        <v>266</v>
      </c>
      <c r="B2" s="7">
        <v>27</v>
      </c>
      <c r="C2" s="7">
        <v>0</v>
      </c>
      <c r="D2" s="7">
        <v>1</v>
      </c>
      <c r="E2" s="7">
        <v>19.059999999999999</v>
      </c>
      <c r="F2" s="7">
        <v>19.05</v>
      </c>
      <c r="G2" s="7" t="s">
        <v>3</v>
      </c>
      <c r="H2" s="7">
        <f>AVERAGE(E2:G2)</f>
        <v>19.055</v>
      </c>
      <c r="I2" s="7">
        <f>STDEV(E2:G2)</f>
        <v>7.0710678118640685E-3</v>
      </c>
      <c r="J2" s="7" t="s">
        <v>1</v>
      </c>
      <c r="K2" s="7">
        <v>6.6875</v>
      </c>
      <c r="L2" s="7">
        <f>K2/(10^6)</f>
        <v>6.6874999999999999E-6</v>
      </c>
      <c r="M2" s="7">
        <f t="shared" ref="M2:M26" si="0">1.9^(H2)</f>
        <v>204950.91717020998</v>
      </c>
      <c r="N2" s="7">
        <f>M2^-1</f>
        <v>4.8792170037936866E-6</v>
      </c>
      <c r="O2" s="7">
        <f>N2*(10^9)</f>
        <v>4879.2170037936867</v>
      </c>
      <c r="P2" s="7">
        <v>1.5853776030661595E-2</v>
      </c>
      <c r="Q2" s="7">
        <f>N2/L2/P2</f>
        <v>46.020742390474396</v>
      </c>
      <c r="R2" s="7">
        <f>LOG(Q2)</f>
        <v>1.6629536202753861</v>
      </c>
    </row>
    <row r="3" spans="1:25" s="7" customFormat="1">
      <c r="A3" s="7" t="s">
        <v>267</v>
      </c>
      <c r="B3" s="7">
        <v>27</v>
      </c>
      <c r="C3" s="7">
        <v>0</v>
      </c>
      <c r="D3" s="7">
        <v>2</v>
      </c>
      <c r="E3" s="7">
        <v>18.37</v>
      </c>
      <c r="F3" s="7">
        <v>18.239999999999998</v>
      </c>
      <c r="G3" s="7">
        <v>18.3</v>
      </c>
      <c r="H3" s="7">
        <f t="shared" ref="H3:H62" si="1">AVERAGE(E3:G3)</f>
        <v>18.303333333333331</v>
      </c>
      <c r="I3" s="7">
        <f t="shared" ref="I3:I62" si="2">STDEV(E3:G3)</f>
        <v>6.5064070986478373E-2</v>
      </c>
      <c r="J3" s="7" t="s">
        <v>2</v>
      </c>
      <c r="K3" s="7">
        <v>5.2062499999999998</v>
      </c>
      <c r="L3" s="7">
        <f t="shared" ref="L3:L64" si="3">K3/(10^6)</f>
        <v>5.2062499999999995E-6</v>
      </c>
      <c r="M3" s="7">
        <f t="shared" si="0"/>
        <v>126508.60770185836</v>
      </c>
      <c r="N3" s="7">
        <f t="shared" ref="N3:N62" si="4">M3^-1</f>
        <v>7.9046004707971384E-6</v>
      </c>
      <c r="O3" s="7">
        <f t="shared" ref="O3:O66" si="5">N3*(10^9)</f>
        <v>7904.6004707971388</v>
      </c>
      <c r="P3" s="7">
        <v>3.0675168360750724E-2</v>
      </c>
      <c r="Q3" s="7">
        <f t="shared" ref="Q3:Q33" si="6">N3/L3/P3</f>
        <v>49.495754637108284</v>
      </c>
      <c r="R3" s="7">
        <f t="shared" ref="R3:R66" si="7">LOG(Q3)</f>
        <v>1.6945679501104158</v>
      </c>
      <c r="S3" s="7" t="s">
        <v>290</v>
      </c>
    </row>
    <row r="4" spans="1:25" s="6" customFormat="1">
      <c r="A4" s="6" t="s">
        <v>219</v>
      </c>
      <c r="B4" s="6">
        <v>30</v>
      </c>
      <c r="C4" s="6">
        <v>0</v>
      </c>
      <c r="D4" s="6">
        <v>2</v>
      </c>
      <c r="E4" s="6">
        <v>19.89</v>
      </c>
      <c r="F4" s="6">
        <v>19.98</v>
      </c>
      <c r="G4" s="6">
        <v>20.010000000000002</v>
      </c>
      <c r="H4" s="6">
        <f t="shared" si="1"/>
        <v>19.960000000000004</v>
      </c>
      <c r="I4" s="6">
        <f t="shared" si="2"/>
        <v>6.2449979983984355E-2</v>
      </c>
      <c r="K4" s="6">
        <v>4.4000000000000004</v>
      </c>
      <c r="L4" s="6">
        <f t="shared" si="3"/>
        <v>4.4000000000000002E-6</v>
      </c>
      <c r="M4" s="6">
        <f t="shared" si="0"/>
        <v>366371.66233448614</v>
      </c>
      <c r="N4" s="6">
        <f t="shared" si="4"/>
        <v>2.7294687411905522E-6</v>
      </c>
      <c r="O4" s="7">
        <f t="shared" si="5"/>
        <v>2729.468741190552</v>
      </c>
      <c r="P4" s="6">
        <v>1.1953276383398142E-2</v>
      </c>
      <c r="Q4" s="6">
        <f t="shared" si="6"/>
        <v>51.896549943211703</v>
      </c>
      <c r="R4" s="6">
        <f t="shared" si="7"/>
        <v>1.7151384871272868</v>
      </c>
      <c r="S4" s="6" t="s">
        <v>416</v>
      </c>
      <c r="U4" s="6" t="s">
        <v>423</v>
      </c>
    </row>
    <row r="5" spans="1:25" s="6" customFormat="1">
      <c r="A5" s="6" t="s">
        <v>220</v>
      </c>
      <c r="B5" s="6">
        <v>30</v>
      </c>
      <c r="C5" s="6">
        <v>0</v>
      </c>
      <c r="D5" s="6">
        <v>2</v>
      </c>
      <c r="E5" s="6">
        <v>18.350000000000001</v>
      </c>
      <c r="F5" s="6">
        <v>18.510000000000002</v>
      </c>
      <c r="G5" s="6">
        <v>18.47</v>
      </c>
      <c r="H5" s="6">
        <f t="shared" si="1"/>
        <v>18.443333333333332</v>
      </c>
      <c r="I5" s="6">
        <f t="shared" si="2"/>
        <v>8.326663997864496E-2</v>
      </c>
      <c r="J5" s="6" t="s">
        <v>5</v>
      </c>
      <c r="K5" s="6">
        <v>3.8937499999999998</v>
      </c>
      <c r="L5" s="6">
        <f t="shared" si="3"/>
        <v>3.8937499999999998E-6</v>
      </c>
      <c r="M5" s="6">
        <f t="shared" si="0"/>
        <v>138403.0243231541</v>
      </c>
      <c r="N5" s="6">
        <f t="shared" si="4"/>
        <v>7.225275638956578E-6</v>
      </c>
      <c r="O5" s="7">
        <f t="shared" si="5"/>
        <v>7225.2756389565784</v>
      </c>
      <c r="P5" s="6">
        <v>5.9588288228492707E-2</v>
      </c>
      <c r="Q5" s="6">
        <f t="shared" si="6"/>
        <v>31.140490287153291</v>
      </c>
      <c r="R5" s="6">
        <f t="shared" si="7"/>
        <v>1.4933254459754861</v>
      </c>
      <c r="S5" s="6" t="s">
        <v>291</v>
      </c>
      <c r="T5" s="6" t="s">
        <v>292</v>
      </c>
      <c r="U5" s="6" t="s">
        <v>417</v>
      </c>
      <c r="V5" s="6" t="s">
        <v>293</v>
      </c>
      <c r="W5" s="6" t="s">
        <v>418</v>
      </c>
      <c r="X5" s="6" t="s">
        <v>419</v>
      </c>
    </row>
    <row r="6" spans="1:25" s="6" customFormat="1">
      <c r="A6" s="6" t="s">
        <v>221</v>
      </c>
      <c r="B6" s="6">
        <v>30</v>
      </c>
      <c r="C6" s="6">
        <v>0</v>
      </c>
      <c r="D6" s="6">
        <v>2</v>
      </c>
      <c r="E6" s="6">
        <v>18.52</v>
      </c>
      <c r="F6" s="6">
        <v>18.48</v>
      </c>
      <c r="G6" s="6">
        <v>18.16</v>
      </c>
      <c r="H6" s="6">
        <f t="shared" si="1"/>
        <v>18.386666666666667</v>
      </c>
      <c r="I6" s="12">
        <f t="shared" si="2"/>
        <v>0.19731531449264977</v>
      </c>
      <c r="J6" s="6" t="s">
        <v>6</v>
      </c>
      <c r="K6" s="6">
        <v>3.5375000000000001</v>
      </c>
      <c r="L6" s="6">
        <f t="shared" si="3"/>
        <v>3.5375E-6</v>
      </c>
      <c r="M6" s="6">
        <f t="shared" si="0"/>
        <v>133459.51518058276</v>
      </c>
      <c r="N6" s="6">
        <f t="shared" si="4"/>
        <v>7.4929089817755579E-6</v>
      </c>
      <c r="O6" s="7">
        <f t="shared" si="5"/>
        <v>7492.9089817755575</v>
      </c>
      <c r="P6" s="6">
        <v>7.6326671657519274E-2</v>
      </c>
      <c r="Q6" s="6">
        <f t="shared" si="6"/>
        <v>27.750939070687661</v>
      </c>
      <c r="R6" s="6">
        <f t="shared" si="7"/>
        <v>1.4432776839025621</v>
      </c>
      <c r="S6" s="32" t="s">
        <v>294</v>
      </c>
      <c r="T6" s="32">
        <v>1.6787608000000001</v>
      </c>
      <c r="U6" s="32">
        <f>10^T6</f>
        <v>47.726633328782164</v>
      </c>
      <c r="V6" s="32">
        <v>0.24358357999999999</v>
      </c>
      <c r="W6" s="32">
        <v>3.6</v>
      </c>
      <c r="X6" s="32">
        <f>10^(T6-V6)-U6</f>
        <v>-20.488507613413226</v>
      </c>
      <c r="Y6" s="7">
        <v>2.5</v>
      </c>
    </row>
    <row r="7" spans="1:25" s="6" customFormat="1">
      <c r="A7" s="6" t="s">
        <v>222</v>
      </c>
      <c r="B7" s="6">
        <v>30</v>
      </c>
      <c r="C7" s="6">
        <v>0</v>
      </c>
      <c r="D7" s="6">
        <v>3</v>
      </c>
      <c r="E7" s="6">
        <v>17.2</v>
      </c>
      <c r="F7" s="6">
        <v>17.2</v>
      </c>
      <c r="G7" s="6">
        <v>17.27</v>
      </c>
      <c r="H7" s="12">
        <f t="shared" si="1"/>
        <v>17.223333333333333</v>
      </c>
      <c r="I7" s="6">
        <f t="shared" si="2"/>
        <v>4.0414518843273968E-2</v>
      </c>
      <c r="J7" s="6">
        <v>0.19588149999999999</v>
      </c>
      <c r="K7" s="6">
        <v>3.875</v>
      </c>
      <c r="L7" s="6">
        <f t="shared" si="3"/>
        <v>3.8750000000000002E-6</v>
      </c>
      <c r="M7" s="6">
        <f t="shared" si="0"/>
        <v>63250.823915854489</v>
      </c>
      <c r="N7" s="6">
        <f t="shared" si="4"/>
        <v>1.5810070732522733E-5</v>
      </c>
      <c r="O7" s="7">
        <f t="shared" si="5"/>
        <v>15810.070732522734</v>
      </c>
      <c r="P7" s="6">
        <v>6.0012800219860191E-2</v>
      </c>
      <c r="Q7" s="6">
        <f t="shared" si="6"/>
        <v>67.985800339375643</v>
      </c>
      <c r="R7" s="6">
        <f t="shared" si="7"/>
        <v>1.8324182144971428</v>
      </c>
      <c r="S7" s="32" t="s">
        <v>295</v>
      </c>
      <c r="T7" s="32">
        <v>1.1469389000000001</v>
      </c>
      <c r="U7" s="32">
        <f>10^T7</f>
        <v>14.02616359461144</v>
      </c>
      <c r="V7" s="32">
        <v>0.1148264</v>
      </c>
      <c r="W7" s="32">
        <f t="shared" ref="W7:W15" si="8">10^(T7+V7)-U7</f>
        <v>4.2449618765700201</v>
      </c>
      <c r="X7" s="32">
        <f t="shared" ref="X7:X15" si="9">10^(T7-V7)-U7</f>
        <v>-3.2587226127679703</v>
      </c>
      <c r="Y7" s="7">
        <v>3.3</v>
      </c>
    </row>
    <row r="8" spans="1:25" s="6" customFormat="1">
      <c r="A8" s="6" t="s">
        <v>223</v>
      </c>
      <c r="B8" s="6">
        <v>30</v>
      </c>
      <c r="C8" s="6">
        <v>0</v>
      </c>
      <c r="D8" s="6">
        <v>3</v>
      </c>
      <c r="E8" s="6">
        <v>19.899999999999999</v>
      </c>
      <c r="F8" s="6">
        <v>19.87</v>
      </c>
      <c r="G8" s="6">
        <v>19.920000000000002</v>
      </c>
      <c r="H8" s="6">
        <f t="shared" si="1"/>
        <v>19.896666666666665</v>
      </c>
      <c r="I8" s="6">
        <f t="shared" si="2"/>
        <v>2.5166114784236002E-2</v>
      </c>
      <c r="J8" s="6" t="s">
        <v>7</v>
      </c>
      <c r="K8" s="6">
        <v>10.925000000000001</v>
      </c>
      <c r="L8" s="6">
        <f t="shared" si="3"/>
        <v>1.0925000000000001E-5</v>
      </c>
      <c r="M8" s="6">
        <f t="shared" si="0"/>
        <v>351777.03193576023</v>
      </c>
      <c r="N8" s="6">
        <f t="shared" si="4"/>
        <v>2.8427097542360727E-6</v>
      </c>
      <c r="O8" s="7">
        <f t="shared" si="5"/>
        <v>2842.7097542360725</v>
      </c>
      <c r="P8" s="6">
        <v>1.5136790609595878E-2</v>
      </c>
      <c r="Q8" s="6">
        <f t="shared" si="6"/>
        <v>17.19005518045627</v>
      </c>
      <c r="R8" s="6">
        <f t="shared" si="7"/>
        <v>1.2352772707841555</v>
      </c>
      <c r="S8" s="32" t="s">
        <v>296</v>
      </c>
      <c r="T8" s="32">
        <v>0.88508549999999997</v>
      </c>
      <c r="U8" s="32">
        <f t="shared" ref="U8:U15" si="10">10^T8</f>
        <v>7.6751257547687253</v>
      </c>
      <c r="V8" s="32">
        <v>0.1148264</v>
      </c>
      <c r="W8" s="32">
        <f t="shared" si="8"/>
        <v>2.3228458735067612</v>
      </c>
      <c r="X8" s="32">
        <f t="shared" si="9"/>
        <v>-1.7831751130089089</v>
      </c>
      <c r="Y8" s="7">
        <v>1.8</v>
      </c>
    </row>
    <row r="9" spans="1:25" s="6" customFormat="1">
      <c r="A9" s="6" t="s">
        <v>224</v>
      </c>
      <c r="B9" s="6">
        <v>30</v>
      </c>
      <c r="C9" s="6">
        <v>0</v>
      </c>
      <c r="D9" s="6">
        <v>3</v>
      </c>
      <c r="E9" s="6">
        <v>19.850000000000001</v>
      </c>
      <c r="F9" s="6">
        <v>20</v>
      </c>
      <c r="G9" s="6">
        <v>19.899999999999999</v>
      </c>
      <c r="H9" s="6">
        <f t="shared" si="1"/>
        <v>19.916666666666668</v>
      </c>
      <c r="I9" s="6">
        <f t="shared" si="2"/>
        <v>7.6376261582596874E-2</v>
      </c>
      <c r="K9" s="6">
        <v>2.5499999999999998</v>
      </c>
      <c r="L9" s="6">
        <f t="shared" si="3"/>
        <v>2.5499999999999997E-6</v>
      </c>
      <c r="M9" s="6">
        <f t="shared" si="0"/>
        <v>356321.93022950698</v>
      </c>
      <c r="N9" s="6">
        <f t="shared" si="4"/>
        <v>2.8064508949979587E-6</v>
      </c>
      <c r="O9" s="7">
        <f t="shared" si="5"/>
        <v>2806.4508949979586</v>
      </c>
      <c r="P9" s="6">
        <v>4.8231717288396155E-2</v>
      </c>
      <c r="Q9" s="6">
        <f t="shared" si="6"/>
        <v>22.818366011101016</v>
      </c>
      <c r="R9" s="6">
        <f t="shared" si="7"/>
        <v>1.3582845420204268</v>
      </c>
      <c r="S9" s="32" t="s">
        <v>297</v>
      </c>
      <c r="T9" s="32">
        <v>0.49386010000000002</v>
      </c>
      <c r="U9" s="32">
        <f t="shared" si="10"/>
        <v>3.117885052836324</v>
      </c>
      <c r="V9" s="32">
        <v>0.12179179</v>
      </c>
      <c r="W9" s="32">
        <f t="shared" si="8"/>
        <v>1.009280499382144</v>
      </c>
      <c r="X9" s="32">
        <f t="shared" si="9"/>
        <v>-0.7624653150759273</v>
      </c>
      <c r="Y9" s="7">
        <v>0.8</v>
      </c>
    </row>
    <row r="10" spans="1:25" s="7" customFormat="1">
      <c r="A10" s="7" t="s">
        <v>225</v>
      </c>
      <c r="B10" s="7">
        <v>27</v>
      </c>
      <c r="C10" s="7">
        <v>6</v>
      </c>
      <c r="D10" s="7">
        <v>1</v>
      </c>
      <c r="E10" s="7">
        <v>23.55</v>
      </c>
      <c r="F10" s="7">
        <v>23.65</v>
      </c>
      <c r="G10" s="7">
        <v>23.67</v>
      </c>
      <c r="H10" s="7">
        <f t="shared" si="1"/>
        <v>23.623333333333335</v>
      </c>
      <c r="I10" s="7">
        <f t="shared" si="2"/>
        <v>6.4291005073286292E-2</v>
      </c>
      <c r="J10" s="7" t="s">
        <v>8</v>
      </c>
      <c r="K10" s="7">
        <v>1.2250000000000001</v>
      </c>
      <c r="L10" s="7">
        <f t="shared" si="3"/>
        <v>1.2250000000000001E-6</v>
      </c>
      <c r="M10" s="7">
        <f t="shared" si="0"/>
        <v>3846708.1107602473</v>
      </c>
      <c r="N10" s="7">
        <f t="shared" si="4"/>
        <v>2.5996253711133914E-7</v>
      </c>
      <c r="O10" s="7">
        <f t="shared" si="5"/>
        <v>259.96253711133915</v>
      </c>
      <c r="P10" s="7">
        <v>1.9712546707854651E-2</v>
      </c>
      <c r="Q10" s="7">
        <f t="shared" si="6"/>
        <v>10.765443915204402</v>
      </c>
      <c r="R10" s="7">
        <f t="shared" si="7"/>
        <v>1.0320319427474098</v>
      </c>
      <c r="S10" s="32" t="s">
        <v>298</v>
      </c>
      <c r="T10" s="32">
        <v>1.3720015000000001</v>
      </c>
      <c r="U10" s="32">
        <f t="shared" si="10"/>
        <v>23.550574179621197</v>
      </c>
      <c r="V10" s="32">
        <v>0.1148264</v>
      </c>
      <c r="W10" s="32">
        <f t="shared" si="8"/>
        <v>7.1274863500261283</v>
      </c>
      <c r="X10" s="32">
        <f t="shared" si="9"/>
        <v>-5.4715452379498188</v>
      </c>
      <c r="Y10" s="7">
        <v>5.5</v>
      </c>
    </row>
    <row r="11" spans="1:25" s="7" customFormat="1">
      <c r="A11" s="7" t="s">
        <v>226</v>
      </c>
      <c r="B11" s="7">
        <v>27</v>
      </c>
      <c r="C11" s="7">
        <v>6</v>
      </c>
      <c r="D11" s="7">
        <v>1</v>
      </c>
      <c r="E11" s="7">
        <v>18.760000000000002</v>
      </c>
      <c r="F11" s="7">
        <v>18.61</v>
      </c>
      <c r="G11" s="7">
        <v>18.690000000000001</v>
      </c>
      <c r="H11" s="7">
        <f t="shared" si="1"/>
        <v>18.686666666666667</v>
      </c>
      <c r="I11" s="7">
        <f t="shared" si="2"/>
        <v>7.5055534994652423E-2</v>
      </c>
      <c r="J11" s="7">
        <v>24.02</v>
      </c>
      <c r="K11" s="7">
        <v>3.1124999999999998</v>
      </c>
      <c r="L11" s="7">
        <f t="shared" si="3"/>
        <v>3.1124999999999998E-6</v>
      </c>
      <c r="M11" s="7">
        <f t="shared" si="0"/>
        <v>161798.92176865498</v>
      </c>
      <c r="N11" s="7">
        <f t="shared" si="4"/>
        <v>6.1805109024757931E-6</v>
      </c>
      <c r="O11" s="7">
        <f t="shared" si="5"/>
        <v>6180.510902475793</v>
      </c>
      <c r="P11" s="7">
        <v>2.5044109087915073E-2</v>
      </c>
      <c r="Q11" s="7">
        <f t="shared" si="6"/>
        <v>79.288359073896615</v>
      </c>
      <c r="R11" s="7">
        <f t="shared" si="7"/>
        <v>1.8992094299269662</v>
      </c>
      <c r="S11" s="6" t="s">
        <v>299</v>
      </c>
      <c r="T11" s="6">
        <v>1.5129535999999999</v>
      </c>
      <c r="U11" s="6">
        <f t="shared" si="10"/>
        <v>32.580189048532461</v>
      </c>
      <c r="V11" s="6">
        <v>0.14063305000000001</v>
      </c>
      <c r="W11" s="6">
        <f t="shared" si="8"/>
        <v>12.458594276822005</v>
      </c>
      <c r="X11" s="6">
        <f t="shared" si="9"/>
        <v>-9.0123073237931628</v>
      </c>
      <c r="Y11" s="6">
        <v>9</v>
      </c>
    </row>
    <row r="12" spans="1:25" s="7" customFormat="1">
      <c r="A12" s="7" t="s">
        <v>55</v>
      </c>
      <c r="B12" s="7">
        <v>27</v>
      </c>
      <c r="C12" s="7">
        <v>6</v>
      </c>
      <c r="D12" s="7">
        <v>1</v>
      </c>
      <c r="E12" s="7">
        <v>19.559999999999999</v>
      </c>
      <c r="F12" s="7">
        <v>19.55</v>
      </c>
      <c r="G12" s="7">
        <v>19.46</v>
      </c>
      <c r="H12" s="7">
        <f t="shared" si="1"/>
        <v>19.523333333333333</v>
      </c>
      <c r="I12" s="7">
        <f t="shared" si="2"/>
        <v>5.5075705472860274E-2</v>
      </c>
      <c r="J12" s="24" t="s">
        <v>9</v>
      </c>
      <c r="K12" s="7">
        <v>2.2625000000000002</v>
      </c>
      <c r="L12" s="7">
        <f t="shared" si="3"/>
        <v>2.2625000000000004E-6</v>
      </c>
      <c r="M12" s="7">
        <f t="shared" si="0"/>
        <v>276821.27796693938</v>
      </c>
      <c r="N12" s="7">
        <f t="shared" si="4"/>
        <v>3.6124390702344401E-6</v>
      </c>
      <c r="O12" s="7">
        <f t="shared" si="5"/>
        <v>3612.4390702344399</v>
      </c>
      <c r="P12" s="7">
        <v>2.1540797202830916E-2</v>
      </c>
      <c r="Q12" s="7">
        <f t="shared" si="6"/>
        <v>74.12251912292146</v>
      </c>
      <c r="R12" s="7">
        <f t="shared" si="7"/>
        <v>1.8699501708005677</v>
      </c>
      <c r="S12" s="6" t="s">
        <v>300</v>
      </c>
      <c r="T12" s="6">
        <v>0.87352430000000003</v>
      </c>
      <c r="U12" s="6">
        <f t="shared" si="10"/>
        <v>7.4735044938492363</v>
      </c>
      <c r="V12" s="6">
        <v>0.12179179</v>
      </c>
      <c r="W12" s="6">
        <f t="shared" si="8"/>
        <v>2.4192239995586595</v>
      </c>
      <c r="X12" s="6">
        <f t="shared" si="9"/>
        <v>-1.827613225651282</v>
      </c>
      <c r="Y12" s="6">
        <v>1.8</v>
      </c>
    </row>
    <row r="13" spans="1:25" s="7" customFormat="1">
      <c r="A13" s="7" t="s">
        <v>56</v>
      </c>
      <c r="B13" s="7">
        <v>27</v>
      </c>
      <c r="C13" s="7">
        <v>6</v>
      </c>
      <c r="D13" s="7">
        <v>2</v>
      </c>
      <c r="E13" s="7">
        <v>20.09</v>
      </c>
      <c r="F13" s="7">
        <v>20.100000000000001</v>
      </c>
      <c r="G13" s="7">
        <v>20.16</v>
      </c>
      <c r="H13" s="7">
        <f t="shared" si="1"/>
        <v>20.116666666666664</v>
      </c>
      <c r="I13" s="7">
        <f t="shared" si="2"/>
        <v>3.7859388972001647E-2</v>
      </c>
      <c r="J13" s="7">
        <v>25.18</v>
      </c>
      <c r="K13" s="7">
        <v>10.0625</v>
      </c>
      <c r="L13" s="7">
        <f t="shared" si="3"/>
        <v>1.0062500000000001E-5</v>
      </c>
      <c r="M13" s="7">
        <f t="shared" si="0"/>
        <v>405128.94447453425</v>
      </c>
      <c r="N13" s="7">
        <f t="shared" si="4"/>
        <v>2.4683499257181767E-6</v>
      </c>
      <c r="O13" s="7">
        <f t="shared" si="5"/>
        <v>2468.3499257181766</v>
      </c>
      <c r="P13" s="7">
        <v>1.347891152679309E-2</v>
      </c>
      <c r="Q13" s="7">
        <f t="shared" si="6"/>
        <v>18.198936574692027</v>
      </c>
      <c r="R13" s="7">
        <f t="shared" si="7"/>
        <v>1.2600460114336278</v>
      </c>
      <c r="S13" s="6" t="s">
        <v>301</v>
      </c>
      <c r="T13" s="6">
        <v>0.92606670000000002</v>
      </c>
      <c r="U13" s="6">
        <f t="shared" si="10"/>
        <v>8.4346428910866695</v>
      </c>
      <c r="V13" s="6">
        <v>0.13020090000000001</v>
      </c>
      <c r="W13" s="6">
        <f t="shared" si="8"/>
        <v>2.9486418653858006</v>
      </c>
      <c r="X13" s="6">
        <f t="shared" si="9"/>
        <v>-2.1848474917659892</v>
      </c>
      <c r="Y13" s="6">
        <v>2.2000000000000002</v>
      </c>
    </row>
    <row r="14" spans="1:25" s="7" customFormat="1">
      <c r="A14" s="7" t="s">
        <v>57</v>
      </c>
      <c r="B14" s="7">
        <v>27</v>
      </c>
      <c r="C14" s="7">
        <v>6</v>
      </c>
      <c r="D14" s="7">
        <v>2</v>
      </c>
      <c r="E14" s="7">
        <v>20.9</v>
      </c>
      <c r="F14" s="7">
        <v>20.87</v>
      </c>
      <c r="G14" s="7">
        <v>20.94</v>
      </c>
      <c r="H14" s="7">
        <f t="shared" si="1"/>
        <v>20.903333333333332</v>
      </c>
      <c r="I14" s="7">
        <f t="shared" si="2"/>
        <v>3.5118845842842722E-2</v>
      </c>
      <c r="J14" s="7" t="s">
        <v>238</v>
      </c>
      <c r="K14" s="7">
        <v>8.7624999999999993</v>
      </c>
      <c r="L14" s="7">
        <f t="shared" si="3"/>
        <v>8.7624999999999995E-6</v>
      </c>
      <c r="M14" s="7">
        <f t="shared" si="0"/>
        <v>671242.48818514054</v>
      </c>
      <c r="N14" s="7">
        <f t="shared" si="4"/>
        <v>1.4897745860869617E-6</v>
      </c>
      <c r="O14" s="7">
        <f t="shared" si="5"/>
        <v>1489.7745860869618</v>
      </c>
      <c r="P14" s="7">
        <v>1.1985791717003699E-2</v>
      </c>
      <c r="Q14" s="7">
        <f t="shared" si="6"/>
        <v>14.184884501557038</v>
      </c>
      <c r="R14" s="7">
        <f t="shared" si="7"/>
        <v>1.1518258039640419</v>
      </c>
      <c r="S14" s="6" t="s">
        <v>302</v>
      </c>
      <c r="T14" s="6">
        <v>0.51495740000000001</v>
      </c>
      <c r="U14" s="6">
        <f t="shared" si="10"/>
        <v>3.2730858756390355</v>
      </c>
      <c r="V14" s="6">
        <v>0.12179179</v>
      </c>
      <c r="W14" s="6">
        <f t="shared" si="8"/>
        <v>1.0595200564178806</v>
      </c>
      <c r="X14" s="6">
        <f t="shared" si="9"/>
        <v>-0.80041900555937318</v>
      </c>
      <c r="Y14" s="6">
        <v>0.8</v>
      </c>
    </row>
    <row r="15" spans="1:25" s="7" customFormat="1">
      <c r="A15" s="7" t="s">
        <v>58</v>
      </c>
      <c r="B15" s="7">
        <v>27</v>
      </c>
      <c r="C15" s="7">
        <v>6</v>
      </c>
      <c r="D15" s="7">
        <v>2</v>
      </c>
      <c r="E15" s="7">
        <v>21.5</v>
      </c>
      <c r="F15" s="7">
        <v>21.68</v>
      </c>
      <c r="G15" s="7">
        <v>21.65</v>
      </c>
      <c r="H15" s="7">
        <f t="shared" si="1"/>
        <v>21.61</v>
      </c>
      <c r="I15" s="7">
        <f t="shared" si="2"/>
        <v>9.6436507609929153E-2</v>
      </c>
      <c r="J15" s="7">
        <v>28.99</v>
      </c>
      <c r="K15" s="7">
        <v>9</v>
      </c>
      <c r="L15" s="7">
        <f t="shared" si="3"/>
        <v>9.0000000000000002E-6</v>
      </c>
      <c r="M15" s="7">
        <f t="shared" si="0"/>
        <v>1056489.8197705646</v>
      </c>
      <c r="N15" s="7">
        <f t="shared" si="4"/>
        <v>9.4653065395099373E-7</v>
      </c>
      <c r="O15" s="7">
        <f t="shared" si="5"/>
        <v>946.53065395099372</v>
      </c>
      <c r="P15" s="7">
        <v>8.8487241496765269E-3</v>
      </c>
      <c r="Q15" s="7">
        <f t="shared" si="6"/>
        <v>11.885337465861236</v>
      </c>
      <c r="R15" s="7">
        <f t="shared" si="7"/>
        <v>1.0750115173625314</v>
      </c>
      <c r="S15" s="6" t="s">
        <v>303</v>
      </c>
      <c r="T15" s="6">
        <v>0.90594379999999997</v>
      </c>
      <c r="U15" s="6">
        <f t="shared" si="10"/>
        <v>8.0527422771761721</v>
      </c>
      <c r="V15" s="6">
        <v>0.12179179</v>
      </c>
      <c r="W15" s="6">
        <f t="shared" si="8"/>
        <v>2.6067271914051364</v>
      </c>
      <c r="X15" s="6">
        <f t="shared" si="9"/>
        <v>-1.9692633222661291</v>
      </c>
      <c r="Y15" s="6">
        <v>2</v>
      </c>
    </row>
    <row r="16" spans="1:25" s="7" customFormat="1">
      <c r="A16" s="7" t="s">
        <v>59</v>
      </c>
      <c r="B16" s="7">
        <v>27</v>
      </c>
      <c r="C16" s="7">
        <v>6</v>
      </c>
      <c r="D16" s="7">
        <v>3</v>
      </c>
      <c r="E16" s="7">
        <v>20.09</v>
      </c>
      <c r="F16" s="7">
        <v>20.21</v>
      </c>
      <c r="G16" s="7">
        <v>20.260000000000002</v>
      </c>
      <c r="H16" s="7">
        <f t="shared" si="1"/>
        <v>20.186666666666667</v>
      </c>
      <c r="I16" s="7">
        <f t="shared" si="2"/>
        <v>8.7368949480541899E-2</v>
      </c>
      <c r="J16" s="7" t="s">
        <v>129</v>
      </c>
      <c r="K16" s="7">
        <v>4.5999999999999996</v>
      </c>
      <c r="L16" s="7">
        <f t="shared" si="3"/>
        <v>4.6E-6</v>
      </c>
      <c r="M16" s="7">
        <f t="shared" si="0"/>
        <v>423746.40288200625</v>
      </c>
      <c r="N16" s="7">
        <f t="shared" si="4"/>
        <v>2.3599020385748351E-6</v>
      </c>
      <c r="O16" s="7">
        <f t="shared" si="5"/>
        <v>2359.9020385748349</v>
      </c>
      <c r="P16" s="7">
        <v>1.2448293461507534E-2</v>
      </c>
      <c r="Q16" s="7">
        <f t="shared" si="6"/>
        <v>41.212250007218927</v>
      </c>
      <c r="R16" s="7">
        <f t="shared" si="7"/>
        <v>1.6150263257365385</v>
      </c>
    </row>
    <row r="17" spans="1:24" s="7" customFormat="1">
      <c r="A17" s="7" t="s">
        <v>182</v>
      </c>
      <c r="B17" s="7">
        <v>27</v>
      </c>
      <c r="C17" s="7">
        <v>6</v>
      </c>
      <c r="D17" s="7">
        <v>3</v>
      </c>
      <c r="E17" s="7">
        <v>22.01</v>
      </c>
      <c r="F17" s="7">
        <v>22.1</v>
      </c>
      <c r="G17" s="7">
        <v>22.21</v>
      </c>
      <c r="H17" s="7">
        <f t="shared" si="1"/>
        <v>22.106666666666666</v>
      </c>
      <c r="I17" s="7">
        <f t="shared" si="2"/>
        <v>0.10016652800877777</v>
      </c>
      <c r="J17" s="7">
        <f>AVERAGE(32.8,32.77,32.14)</f>
        <v>32.57</v>
      </c>
      <c r="K17" s="7">
        <v>8.7437500000000004</v>
      </c>
      <c r="L17" s="7">
        <f t="shared" si="3"/>
        <v>8.7437500000000008E-6</v>
      </c>
      <c r="M17" s="7">
        <f t="shared" si="0"/>
        <v>1453158.3387897622</v>
      </c>
      <c r="N17" s="7">
        <f t="shared" si="4"/>
        <v>6.8815625476356056E-7</v>
      </c>
      <c r="O17" s="7">
        <f t="shared" si="5"/>
        <v>688.15625476356058</v>
      </c>
      <c r="P17" s="7">
        <v>7.5292533746905586E-3</v>
      </c>
      <c r="Q17" s="7">
        <f t="shared" si="6"/>
        <v>10.452914967053813</v>
      </c>
      <c r="R17" s="7">
        <f t="shared" si="7"/>
        <v>1.0192374174876413</v>
      </c>
    </row>
    <row r="18" spans="1:24" s="7" customFormat="1" ht="14" customHeight="1">
      <c r="A18" s="7" t="s">
        <v>183</v>
      </c>
      <c r="B18" s="7">
        <v>27</v>
      </c>
      <c r="C18" s="7">
        <v>6</v>
      </c>
      <c r="D18" s="7">
        <v>3</v>
      </c>
      <c r="E18" s="7">
        <v>20.440000000000001</v>
      </c>
      <c r="F18" s="7">
        <v>20.57</v>
      </c>
      <c r="G18" s="7">
        <v>20.62</v>
      </c>
      <c r="H18" s="7">
        <f t="shared" si="1"/>
        <v>20.543333333333337</v>
      </c>
      <c r="I18" s="7">
        <f t="shared" si="2"/>
        <v>9.2915732431775436E-2</v>
      </c>
      <c r="K18" s="7">
        <v>6.0125000000000002</v>
      </c>
      <c r="L18" s="7">
        <f t="shared" si="3"/>
        <v>6.0125000000000005E-6</v>
      </c>
      <c r="M18" s="7">
        <f t="shared" si="0"/>
        <v>532755.74572589993</v>
      </c>
      <c r="N18" s="7">
        <f t="shared" si="4"/>
        <v>1.8770327828890179E-6</v>
      </c>
      <c r="O18" s="7">
        <f t="shared" si="5"/>
        <v>1877.0327828890179</v>
      </c>
      <c r="P18" s="7">
        <v>1.1714978528822917E-2</v>
      </c>
      <c r="Q18" s="7">
        <f t="shared" si="6"/>
        <v>26.648653590820857</v>
      </c>
      <c r="R18" s="7">
        <f t="shared" si="7"/>
        <v>1.4256752714170591</v>
      </c>
    </row>
    <row r="19" spans="1:24" s="6" customFormat="1">
      <c r="A19" s="6" t="s">
        <v>184</v>
      </c>
      <c r="B19" s="6">
        <v>30</v>
      </c>
      <c r="C19" s="6">
        <v>6</v>
      </c>
      <c r="D19" s="6">
        <v>1</v>
      </c>
      <c r="E19" s="6">
        <v>20.48</v>
      </c>
      <c r="F19" s="6">
        <v>20.64</v>
      </c>
      <c r="G19" s="6">
        <v>20.93</v>
      </c>
      <c r="H19" s="6">
        <f t="shared" si="1"/>
        <v>20.683333333333334</v>
      </c>
      <c r="I19" s="12">
        <f t="shared" si="2"/>
        <v>0.22810816147900792</v>
      </c>
      <c r="J19" s="6">
        <f>J17-J15</f>
        <v>3.5800000000000018</v>
      </c>
      <c r="K19" s="6">
        <v>8.1062499999999993</v>
      </c>
      <c r="L19" s="6">
        <f t="shared" si="3"/>
        <v>8.1062499999999988E-6</v>
      </c>
      <c r="M19" s="6">
        <f t="shared" si="0"/>
        <v>582845.76657243981</v>
      </c>
      <c r="N19" s="6">
        <f t="shared" si="4"/>
        <v>1.715719762160636E-6</v>
      </c>
      <c r="O19" s="7">
        <f t="shared" si="5"/>
        <v>1715.719762160636</v>
      </c>
      <c r="P19" s="6">
        <v>2.3566436352098256E-2</v>
      </c>
      <c r="Q19" s="6">
        <f t="shared" si="6"/>
        <v>8.9811602483770958</v>
      </c>
      <c r="R19" s="6">
        <f t="shared" si="7"/>
        <v>0.95333244545554996</v>
      </c>
      <c r="S19" s="6" t="s">
        <v>402</v>
      </c>
    </row>
    <row r="20" spans="1:24" s="6" customFormat="1">
      <c r="A20" s="6" t="s">
        <v>186</v>
      </c>
      <c r="B20" s="6">
        <v>30</v>
      </c>
      <c r="C20" s="6">
        <v>6</v>
      </c>
      <c r="D20" s="6">
        <v>1</v>
      </c>
      <c r="E20" s="6">
        <v>23.03</v>
      </c>
      <c r="F20" s="6">
        <v>22.99</v>
      </c>
      <c r="G20" s="6">
        <v>22.62</v>
      </c>
      <c r="H20" s="6">
        <f t="shared" si="1"/>
        <v>22.88</v>
      </c>
      <c r="I20" s="12">
        <f t="shared" si="2"/>
        <v>0.22605309110914573</v>
      </c>
      <c r="J20" s="6">
        <f>J13-J11</f>
        <v>1.1600000000000001</v>
      </c>
      <c r="K20" s="6">
        <v>7.6</v>
      </c>
      <c r="L20" s="6">
        <f t="shared" si="3"/>
        <v>7.5999999999999992E-6</v>
      </c>
      <c r="M20" s="6">
        <f t="shared" si="0"/>
        <v>2387164.7332783518</v>
      </c>
      <c r="N20" s="6">
        <f t="shared" si="4"/>
        <v>4.1890699291065495E-7</v>
      </c>
      <c r="O20" s="7">
        <f t="shared" si="5"/>
        <v>418.90699291065494</v>
      </c>
      <c r="P20" s="6">
        <v>6.3162084753376245E-3</v>
      </c>
      <c r="Q20" s="6">
        <f t="shared" si="6"/>
        <v>8.7266500761769539</v>
      </c>
      <c r="R20" s="6">
        <f t="shared" si="7"/>
        <v>0.94084756184591678</v>
      </c>
      <c r="S20" s="6" t="s">
        <v>306</v>
      </c>
      <c r="T20" s="6" t="s">
        <v>308</v>
      </c>
      <c r="U20" s="6" t="s">
        <v>309</v>
      </c>
      <c r="V20" s="6" t="s">
        <v>403</v>
      </c>
      <c r="W20" s="6" t="s">
        <v>310</v>
      </c>
    </row>
    <row r="21" spans="1:24" s="6" customFormat="1">
      <c r="A21" s="6" t="s">
        <v>187</v>
      </c>
      <c r="B21" s="6">
        <v>30</v>
      </c>
      <c r="C21" s="6">
        <v>6</v>
      </c>
      <c r="D21" s="6">
        <v>2</v>
      </c>
      <c r="E21" s="6">
        <v>20.66</v>
      </c>
      <c r="F21" s="6">
        <v>20.69</v>
      </c>
      <c r="G21" s="6">
        <v>20.77</v>
      </c>
      <c r="H21" s="6">
        <f t="shared" si="1"/>
        <v>20.706666666666667</v>
      </c>
      <c r="I21" s="6">
        <f t="shared" si="2"/>
        <v>5.6862407030772784E-2</v>
      </c>
      <c r="J21" s="6">
        <f>AVERAGE(J19:J20)</f>
        <v>2.370000000000001</v>
      </c>
      <c r="K21" s="6">
        <v>5.2249999999999996</v>
      </c>
      <c r="L21" s="6">
        <f t="shared" si="3"/>
        <v>5.2249999999999999E-6</v>
      </c>
      <c r="M21" s="6">
        <f t="shared" si="0"/>
        <v>591640.50223813194</v>
      </c>
      <c r="N21" s="6">
        <f t="shared" si="4"/>
        <v>1.690215589056318E-6</v>
      </c>
      <c r="O21" s="7">
        <f t="shared" si="5"/>
        <v>1690.2155890563181</v>
      </c>
      <c r="P21" s="6">
        <v>1.5097685930270228E-2</v>
      </c>
      <c r="Q21" s="6">
        <f t="shared" si="6"/>
        <v>21.426213171608556</v>
      </c>
      <c r="R21" s="6">
        <f t="shared" si="7"/>
        <v>1.3309454214385907</v>
      </c>
      <c r="S21" s="6" t="s">
        <v>404</v>
      </c>
      <c r="T21" s="6">
        <v>9</v>
      </c>
      <c r="U21" s="6">
        <v>8.1654769999999992</v>
      </c>
      <c r="V21" s="6">
        <v>0.90727500000000005</v>
      </c>
      <c r="W21" s="6">
        <v>7.6456</v>
      </c>
    </row>
    <row r="22" spans="1:24" s="6" customFormat="1">
      <c r="A22" s="6" t="s">
        <v>240</v>
      </c>
      <c r="B22" s="6">
        <v>30</v>
      </c>
      <c r="C22" s="6">
        <v>6</v>
      </c>
      <c r="D22" s="6">
        <v>2</v>
      </c>
      <c r="E22" s="6">
        <v>22.22</v>
      </c>
      <c r="F22" s="6">
        <v>22.45</v>
      </c>
      <c r="G22" s="6">
        <v>22.74</v>
      </c>
      <c r="H22" s="6">
        <f t="shared" si="1"/>
        <v>22.47</v>
      </c>
      <c r="I22" s="12">
        <f t="shared" si="2"/>
        <v>0.26057628441590741</v>
      </c>
      <c r="K22" s="6">
        <v>8.4875000000000007</v>
      </c>
      <c r="L22" s="6">
        <f t="shared" si="3"/>
        <v>8.4875000000000013E-6</v>
      </c>
      <c r="M22" s="6">
        <f t="shared" si="0"/>
        <v>1834819.7803304992</v>
      </c>
      <c r="N22" s="6">
        <f t="shared" si="4"/>
        <v>5.4501265504118002E-7</v>
      </c>
      <c r="O22" s="7">
        <f t="shared" si="5"/>
        <v>545.01265504117998</v>
      </c>
      <c r="P22" s="6">
        <v>2.2074868684458359E-2</v>
      </c>
      <c r="Q22" s="6">
        <f t="shared" si="6"/>
        <v>2.9088991885814388</v>
      </c>
      <c r="R22" s="6">
        <f t="shared" si="7"/>
        <v>0.46372867050747807</v>
      </c>
      <c r="S22" s="6" t="s">
        <v>405</v>
      </c>
      <c r="T22" s="6">
        <v>73</v>
      </c>
      <c r="U22" s="6">
        <v>15.760096000000001</v>
      </c>
      <c r="W22" s="6" t="s">
        <v>312</v>
      </c>
    </row>
    <row r="23" spans="1:24" s="6" customFormat="1">
      <c r="A23" s="6" t="s">
        <v>241</v>
      </c>
      <c r="B23" s="6">
        <v>30</v>
      </c>
      <c r="C23" s="6">
        <v>6</v>
      </c>
      <c r="D23" s="6">
        <v>3</v>
      </c>
      <c r="E23" s="6">
        <v>21.37</v>
      </c>
      <c r="F23" s="6">
        <v>21.29</v>
      </c>
      <c r="G23" s="6">
        <v>21.2</v>
      </c>
      <c r="H23" s="6">
        <f t="shared" si="1"/>
        <v>21.286666666666665</v>
      </c>
      <c r="I23" s="6">
        <f t="shared" si="2"/>
        <v>8.5049005481154655E-2</v>
      </c>
      <c r="J23" s="6" t="s">
        <v>130</v>
      </c>
      <c r="K23" s="6">
        <v>3.3468749999999998</v>
      </c>
      <c r="L23" s="6">
        <f t="shared" si="3"/>
        <v>3.3468749999999996E-6</v>
      </c>
      <c r="M23" s="6">
        <f t="shared" si="0"/>
        <v>858489.49574732617</v>
      </c>
      <c r="N23" s="6">
        <f t="shared" si="4"/>
        <v>1.1648366170508436E-6</v>
      </c>
      <c r="O23" s="7">
        <f t="shared" si="5"/>
        <v>1164.8366170508436</v>
      </c>
      <c r="P23" s="6">
        <v>1.3450525659910553E-2</v>
      </c>
      <c r="Q23" s="6">
        <f t="shared" si="6"/>
        <v>25.875351882860933</v>
      </c>
      <c r="R23" s="6">
        <f t="shared" si="7"/>
        <v>1.412886264542101</v>
      </c>
    </row>
    <row r="24" spans="1:24" s="6" customFormat="1">
      <c r="A24" s="6" t="s">
        <v>242</v>
      </c>
      <c r="B24" s="6">
        <v>30</v>
      </c>
      <c r="C24" s="6">
        <v>6</v>
      </c>
      <c r="D24" s="6">
        <v>3</v>
      </c>
      <c r="E24" s="6">
        <v>20.16</v>
      </c>
      <c r="F24" s="6">
        <v>20.29</v>
      </c>
      <c r="G24" s="6">
        <v>20.329999999999998</v>
      </c>
      <c r="H24" s="6">
        <f t="shared" si="1"/>
        <v>20.260000000000002</v>
      </c>
      <c r="I24" s="6">
        <f t="shared" si="2"/>
        <v>8.8881944173154995E-2</v>
      </c>
      <c r="J24" s="6">
        <v>34.130000000000003</v>
      </c>
      <c r="K24" s="6">
        <v>8.0124999999999993</v>
      </c>
      <c r="L24" s="6">
        <f t="shared" si="3"/>
        <v>8.0124999999999999E-6</v>
      </c>
      <c r="M24" s="6">
        <f t="shared" si="0"/>
        <v>444168.70428534207</v>
      </c>
      <c r="N24" s="6">
        <f t="shared" si="4"/>
        <v>2.2513968011523426E-6</v>
      </c>
      <c r="O24" s="7">
        <f t="shared" si="5"/>
        <v>2251.3968011523425</v>
      </c>
      <c r="P24" s="6">
        <v>2.0348924536507374E-2</v>
      </c>
      <c r="Q24" s="6">
        <f t="shared" si="6"/>
        <v>13.808373985667554</v>
      </c>
      <c r="R24" s="6">
        <f t="shared" si="7"/>
        <v>1.1401425409516834</v>
      </c>
    </row>
    <row r="25" spans="1:24" s="6" customFormat="1">
      <c r="A25" s="6" t="s">
        <v>196</v>
      </c>
      <c r="B25" s="6">
        <v>30</v>
      </c>
      <c r="C25" s="6">
        <v>6</v>
      </c>
      <c r="D25" s="6">
        <v>3</v>
      </c>
      <c r="E25" s="6">
        <v>20.59</v>
      </c>
      <c r="F25" s="6">
        <v>21.02</v>
      </c>
      <c r="G25" s="6">
        <v>21</v>
      </c>
      <c r="H25" s="6">
        <f t="shared" si="1"/>
        <v>20.87</v>
      </c>
      <c r="I25" s="12">
        <f t="shared" si="2"/>
        <v>0.24269322199023191</v>
      </c>
      <c r="J25" s="6">
        <v>34.96</v>
      </c>
      <c r="K25" s="6">
        <v>6.7750000000000004</v>
      </c>
      <c r="L25" s="6">
        <f t="shared" si="3"/>
        <v>6.7750000000000004E-6</v>
      </c>
      <c r="M25" s="6">
        <f t="shared" si="0"/>
        <v>657033.70953165204</v>
      </c>
      <c r="N25" s="6">
        <f t="shared" si="4"/>
        <v>1.5219919244521287E-6</v>
      </c>
      <c r="O25" s="7">
        <f t="shared" si="5"/>
        <v>1521.9919244521288</v>
      </c>
      <c r="P25" s="6">
        <v>1.2518447945935925E-2</v>
      </c>
      <c r="Q25" s="6">
        <f t="shared" si="6"/>
        <v>17.945375936528205</v>
      </c>
      <c r="R25" s="6">
        <f t="shared" si="7"/>
        <v>1.2539525607717716</v>
      </c>
      <c r="W25" s="22"/>
    </row>
    <row r="26" spans="1:24" s="7" customFormat="1">
      <c r="A26" s="7" t="s">
        <v>197</v>
      </c>
      <c r="B26" s="7">
        <v>27</v>
      </c>
      <c r="C26" s="7">
        <v>12</v>
      </c>
      <c r="D26" s="7">
        <v>1</v>
      </c>
      <c r="E26" s="7">
        <v>20.100000000000001</v>
      </c>
      <c r="F26" s="7">
        <v>20.27</v>
      </c>
      <c r="G26" s="7">
        <v>20.18</v>
      </c>
      <c r="H26" s="7">
        <f t="shared" si="1"/>
        <v>20.183333333333334</v>
      </c>
      <c r="I26" s="7">
        <f t="shared" si="2"/>
        <v>8.504900548115292E-2</v>
      </c>
      <c r="J26" s="7" t="s">
        <v>108</v>
      </c>
      <c r="K26" s="7">
        <v>6.2125000000000004</v>
      </c>
      <c r="L26" s="7">
        <f t="shared" si="3"/>
        <v>6.2125000000000002E-6</v>
      </c>
      <c r="M26" s="7">
        <f t="shared" si="0"/>
        <v>422840.76112546877</v>
      </c>
      <c r="N26" s="7">
        <f t="shared" si="4"/>
        <v>2.3649564846546848E-6</v>
      </c>
      <c r="O26" s="7">
        <f t="shared" si="5"/>
        <v>2364.956484654685</v>
      </c>
      <c r="P26" s="7">
        <v>2.0481177227086138E-2</v>
      </c>
      <c r="Q26" s="7">
        <f t="shared" si="6"/>
        <v>18.586680634850516</v>
      </c>
      <c r="R26" s="7">
        <f t="shared" si="7"/>
        <v>1.2692018367495708</v>
      </c>
    </row>
    <row r="27" spans="1:24" s="7" customFormat="1">
      <c r="A27" s="7" t="s">
        <v>198</v>
      </c>
      <c r="B27" s="7">
        <v>27</v>
      </c>
      <c r="C27" s="7">
        <v>12</v>
      </c>
      <c r="D27" s="7">
        <v>1</v>
      </c>
      <c r="E27" s="7">
        <v>19.489999999999998</v>
      </c>
      <c r="F27" s="7">
        <v>19.64</v>
      </c>
      <c r="G27" s="7">
        <v>19.59</v>
      </c>
      <c r="H27" s="7">
        <f t="shared" si="1"/>
        <v>19.573333333333334</v>
      </c>
      <c r="I27" s="7">
        <f t="shared" si="2"/>
        <v>7.6376261582598429E-2</v>
      </c>
      <c r="K27" s="7">
        <v>8.5437499999999993</v>
      </c>
      <c r="L27" s="7">
        <f t="shared" si="3"/>
        <v>8.5437499999999993E-6</v>
      </c>
      <c r="M27" s="7">
        <f t="shared" ref="M27:M53" si="11">1.95^(H27)</f>
        <v>475274.07623470493</v>
      </c>
      <c r="N27" s="7">
        <f t="shared" si="4"/>
        <v>2.1040491160855346E-6</v>
      </c>
      <c r="O27" s="7">
        <f t="shared" si="5"/>
        <v>2104.0491160855345</v>
      </c>
      <c r="P27" s="7">
        <v>1.4789749826106736E-2</v>
      </c>
      <c r="Q27" s="7">
        <f t="shared" si="6"/>
        <v>16.651237445786148</v>
      </c>
      <c r="R27" s="7">
        <f t="shared" si="7"/>
        <v>1.2214465138727835</v>
      </c>
      <c r="S27" s="7" t="s">
        <v>305</v>
      </c>
    </row>
    <row r="28" spans="1:24" s="7" customFormat="1">
      <c r="A28" s="7" t="s">
        <v>199</v>
      </c>
      <c r="B28" s="7">
        <v>27</v>
      </c>
      <c r="C28" s="7">
        <v>12</v>
      </c>
      <c r="D28" s="7">
        <v>1</v>
      </c>
      <c r="E28" s="7">
        <v>19.11</v>
      </c>
      <c r="F28" s="7">
        <v>19.02</v>
      </c>
      <c r="G28" s="7">
        <v>19.12</v>
      </c>
      <c r="H28" s="7">
        <f t="shared" si="1"/>
        <v>19.083333333333332</v>
      </c>
      <c r="I28" s="7">
        <f t="shared" si="2"/>
        <v>5.5075705472861461E-2</v>
      </c>
      <c r="K28" s="7">
        <v>6.1624999999999996</v>
      </c>
      <c r="L28" s="7">
        <f t="shared" si="3"/>
        <v>6.1624999999999999E-6</v>
      </c>
      <c r="M28" s="7">
        <f t="shared" si="11"/>
        <v>342631.40476509189</v>
      </c>
      <c r="N28" s="7">
        <f t="shared" si="4"/>
        <v>2.9185882732658439E-6</v>
      </c>
      <c r="O28" s="7">
        <f t="shared" si="5"/>
        <v>2918.5882732658438</v>
      </c>
      <c r="P28" s="7">
        <v>6.1982785783496704E-2</v>
      </c>
      <c r="Q28" s="7">
        <f t="shared" si="6"/>
        <v>7.6409051637041721</v>
      </c>
      <c r="R28" s="7">
        <f t="shared" si="7"/>
        <v>0.88314480940248186</v>
      </c>
    </row>
    <row r="29" spans="1:24" s="7" customFormat="1">
      <c r="A29" s="7" t="s">
        <v>200</v>
      </c>
      <c r="B29" s="7">
        <v>27</v>
      </c>
      <c r="C29" s="7">
        <v>12</v>
      </c>
      <c r="D29" s="7">
        <v>2</v>
      </c>
      <c r="E29" s="7">
        <v>18.64</v>
      </c>
      <c r="F29" s="7">
        <v>18.59</v>
      </c>
      <c r="G29" s="7">
        <v>18.68</v>
      </c>
      <c r="H29" s="7">
        <f t="shared" si="1"/>
        <v>18.636666666666667</v>
      </c>
      <c r="I29" s="7">
        <f t="shared" si="2"/>
        <v>4.50924975282289E-2</v>
      </c>
      <c r="J29" s="24" t="s">
        <v>9</v>
      </c>
      <c r="K29" s="7">
        <v>7.125</v>
      </c>
      <c r="L29" s="7">
        <f t="shared" si="3"/>
        <v>7.1250000000000004E-6</v>
      </c>
      <c r="M29" s="7">
        <f t="shared" si="11"/>
        <v>254260.19384726716</v>
      </c>
      <c r="N29" s="7">
        <f t="shared" si="4"/>
        <v>3.9329789884479321E-6</v>
      </c>
      <c r="O29" s="7">
        <f t="shared" si="5"/>
        <v>3932.9789884479319</v>
      </c>
      <c r="P29" s="7">
        <v>2.7677782698061447E-2</v>
      </c>
      <c r="Q29" s="7">
        <f t="shared" si="6"/>
        <v>19.943687579023372</v>
      </c>
      <c r="R29" s="7">
        <f t="shared" si="7"/>
        <v>1.299805462258206</v>
      </c>
      <c r="S29" s="7" t="s">
        <v>306</v>
      </c>
      <c r="T29" s="7" t="s">
        <v>307</v>
      </c>
      <c r="U29" s="7" t="s">
        <v>308</v>
      </c>
      <c r="V29" s="7" t="s">
        <v>309</v>
      </c>
      <c r="W29" s="7" t="s">
        <v>310</v>
      </c>
      <c r="X29" s="7" t="s">
        <v>311</v>
      </c>
    </row>
    <row r="30" spans="1:24" s="7" customFormat="1">
      <c r="A30" s="7" t="s">
        <v>201</v>
      </c>
      <c r="B30" s="7">
        <v>27</v>
      </c>
      <c r="C30" s="7">
        <v>12</v>
      </c>
      <c r="D30" s="7">
        <v>2</v>
      </c>
      <c r="E30" s="7">
        <v>17.920000000000002</v>
      </c>
      <c r="F30" s="7">
        <v>17.91</v>
      </c>
      <c r="G30" s="7">
        <v>18.02</v>
      </c>
      <c r="H30" s="10">
        <f t="shared" si="1"/>
        <v>17.95</v>
      </c>
      <c r="I30" s="7">
        <f t="shared" si="2"/>
        <v>6.0827625302981483E-2</v>
      </c>
      <c r="J30" s="7">
        <f>AVERAGE(25.68,25.48,25.53)</f>
        <v>25.563333333333333</v>
      </c>
      <c r="K30" s="7">
        <v>11.18125</v>
      </c>
      <c r="L30" s="7">
        <f t="shared" si="3"/>
        <v>1.1181250000000001E-5</v>
      </c>
      <c r="M30" s="7">
        <f t="shared" si="11"/>
        <v>160739.00437410746</v>
      </c>
      <c r="N30" s="7">
        <f t="shared" si="4"/>
        <v>6.2212653605379953E-6</v>
      </c>
      <c r="O30" s="7">
        <f t="shared" si="5"/>
        <v>6221.2653605379955</v>
      </c>
      <c r="P30" s="7">
        <v>3.4487330622804575E-2</v>
      </c>
      <c r="Q30" s="7">
        <f t="shared" si="6"/>
        <v>16.133507213142639</v>
      </c>
      <c r="R30" s="7">
        <f t="shared" si="7"/>
        <v>1.2077287875839293</v>
      </c>
      <c r="S30" s="7" t="s">
        <v>288</v>
      </c>
      <c r="T30" s="7">
        <v>1</v>
      </c>
      <c r="U30" s="7">
        <v>1</v>
      </c>
      <c r="V30" s="7">
        <v>0.43277529999999997</v>
      </c>
      <c r="W30" s="7">
        <v>3.6469999999999998</v>
      </c>
      <c r="X30" s="7">
        <v>6.0699999999999997E-2</v>
      </c>
    </row>
    <row r="31" spans="1:24" s="7" customFormat="1">
      <c r="A31" s="7" t="s">
        <v>202</v>
      </c>
      <c r="B31" s="7">
        <v>27</v>
      </c>
      <c r="C31" s="7">
        <v>12</v>
      </c>
      <c r="D31" s="7">
        <v>2</v>
      </c>
      <c r="E31" s="7" t="s">
        <v>227</v>
      </c>
      <c r="F31" s="7">
        <v>17.79</v>
      </c>
      <c r="G31" s="7">
        <v>17.88</v>
      </c>
      <c r="H31" s="10">
        <f t="shared" si="1"/>
        <v>17.835000000000001</v>
      </c>
      <c r="I31" s="7">
        <f t="shared" si="2"/>
        <v>6.3639610306789177E-2</v>
      </c>
      <c r="J31" s="7" t="s">
        <v>238</v>
      </c>
      <c r="K31" s="7">
        <v>4.8250000000000002</v>
      </c>
      <c r="L31" s="7">
        <f t="shared" si="3"/>
        <v>4.8250000000000004E-6</v>
      </c>
      <c r="M31" s="7">
        <f t="shared" si="11"/>
        <v>148856.3252833653</v>
      </c>
      <c r="N31" s="7">
        <f t="shared" si="4"/>
        <v>6.717887184816526E-6</v>
      </c>
      <c r="O31" s="7">
        <f t="shared" si="5"/>
        <v>6717.8871848165263</v>
      </c>
      <c r="P31" s="7">
        <v>1.9352319453952587E-2</v>
      </c>
      <c r="Q31" s="7">
        <f t="shared" si="6"/>
        <v>71.945289459763984</v>
      </c>
      <c r="R31" s="7">
        <f t="shared" si="7"/>
        <v>1.8570023642406317</v>
      </c>
      <c r="S31" s="7" t="s">
        <v>250</v>
      </c>
      <c r="T31" s="7">
        <v>4</v>
      </c>
      <c r="U31" s="7">
        <v>4</v>
      </c>
      <c r="V31" s="7">
        <v>6.3761356999999999</v>
      </c>
      <c r="W31" s="7">
        <v>13.433</v>
      </c>
      <c r="X31" s="7" t="s">
        <v>312</v>
      </c>
    </row>
    <row r="32" spans="1:24" s="7" customFormat="1">
      <c r="A32" s="7" t="s">
        <v>203</v>
      </c>
      <c r="B32" s="7">
        <v>27</v>
      </c>
      <c r="C32" s="7">
        <v>12</v>
      </c>
      <c r="D32" s="7">
        <v>3</v>
      </c>
      <c r="E32" s="7">
        <v>19.809999999999999</v>
      </c>
      <c r="F32" s="7">
        <v>20.09</v>
      </c>
      <c r="G32" s="7">
        <v>20.03</v>
      </c>
      <c r="H32" s="7">
        <f t="shared" si="1"/>
        <v>19.976666666666667</v>
      </c>
      <c r="I32" s="7">
        <f t="shared" si="2"/>
        <v>0.14742229591664074</v>
      </c>
      <c r="J32" s="7">
        <f>AVERAGE(28.83,29.26,29.18)</f>
        <v>29.090000000000003</v>
      </c>
      <c r="K32" s="7">
        <v>7.3312499999999998</v>
      </c>
      <c r="L32" s="7">
        <f t="shared" si="3"/>
        <v>7.3312499999999995E-6</v>
      </c>
      <c r="M32" s="7">
        <f t="shared" si="11"/>
        <v>622192.4731100318</v>
      </c>
      <c r="N32" s="7">
        <f t="shared" si="4"/>
        <v>1.6072197000415251E-6</v>
      </c>
      <c r="O32" s="7">
        <f t="shared" si="5"/>
        <v>1607.2197000415251</v>
      </c>
      <c r="P32" s="7">
        <v>6.4912943461962691E-2</v>
      </c>
      <c r="Q32" s="7">
        <f t="shared" si="6"/>
        <v>3.3772710324665693</v>
      </c>
      <c r="R32" s="7">
        <f t="shared" si="7"/>
        <v>0.52856591499767946</v>
      </c>
      <c r="S32" s="7" t="s">
        <v>313</v>
      </c>
      <c r="T32" s="7">
        <v>4</v>
      </c>
      <c r="U32" s="7">
        <v>4</v>
      </c>
      <c r="V32" s="7">
        <v>0.73743119999999995</v>
      </c>
      <c r="W32" s="7">
        <v>1.5536000000000001</v>
      </c>
      <c r="X32" s="7">
        <v>0.19750000000000001</v>
      </c>
    </row>
    <row r="33" spans="1:27" s="7" customFormat="1">
      <c r="A33" s="7" t="s">
        <v>204</v>
      </c>
      <c r="B33" s="7">
        <v>27</v>
      </c>
      <c r="C33" s="7">
        <v>12</v>
      </c>
      <c r="D33" s="7">
        <v>3</v>
      </c>
      <c r="E33" s="7">
        <v>18.72</v>
      </c>
      <c r="F33" s="7">
        <v>18.89</v>
      </c>
      <c r="G33" s="7">
        <v>18.920000000000002</v>
      </c>
      <c r="H33" s="7">
        <f t="shared" si="1"/>
        <v>18.843333333333334</v>
      </c>
      <c r="I33" s="7">
        <f t="shared" si="2"/>
        <v>0.10785793124909095</v>
      </c>
      <c r="J33" s="7" t="s">
        <v>129</v>
      </c>
      <c r="K33" s="7">
        <v>5.84375</v>
      </c>
      <c r="L33" s="7">
        <f t="shared" si="3"/>
        <v>5.8437499999999997E-6</v>
      </c>
      <c r="M33" s="7">
        <f t="shared" si="11"/>
        <v>291889.76044194662</v>
      </c>
      <c r="N33" s="7">
        <f t="shared" si="4"/>
        <v>3.4259509428693646E-6</v>
      </c>
      <c r="O33" s="7">
        <f t="shared" si="5"/>
        <v>3425.9509428693646</v>
      </c>
      <c r="P33" s="7">
        <v>8.7867910527599818E-2</v>
      </c>
      <c r="Q33" s="7">
        <f t="shared" si="6"/>
        <v>6.6720487758940585</v>
      </c>
      <c r="R33" s="7">
        <f t="shared" si="7"/>
        <v>0.82425921254338286</v>
      </c>
    </row>
    <row r="34" spans="1:27" s="7" customFormat="1">
      <c r="A34" s="7" t="s">
        <v>205</v>
      </c>
      <c r="B34" s="7">
        <v>27</v>
      </c>
      <c r="C34" s="7">
        <v>12</v>
      </c>
      <c r="D34" s="7">
        <v>3</v>
      </c>
      <c r="E34" s="7">
        <v>18.39</v>
      </c>
      <c r="F34" s="7">
        <v>18.489999999999998</v>
      </c>
      <c r="G34" s="7">
        <v>18.62</v>
      </c>
      <c r="H34" s="7">
        <f t="shared" si="1"/>
        <v>18.5</v>
      </c>
      <c r="I34" s="7">
        <f t="shared" si="2"/>
        <v>0.11532562594670827</v>
      </c>
      <c r="J34" s="7">
        <f>AVERAGE(32.4,32.5)</f>
        <v>32.450000000000003</v>
      </c>
      <c r="K34" s="7">
        <v>6.9562499999999998</v>
      </c>
      <c r="L34" s="7">
        <f t="shared" si="3"/>
        <v>6.9562499999999997E-6</v>
      </c>
      <c r="M34" s="7">
        <f t="shared" si="11"/>
        <v>232081.38641625631</v>
      </c>
      <c r="N34" s="7">
        <f t="shared" si="4"/>
        <v>4.308833273713821E-6</v>
      </c>
      <c r="O34" s="7">
        <f t="shared" si="5"/>
        <v>4308.8332737138207</v>
      </c>
      <c r="P34" s="7">
        <v>3.6365506349681088E-2</v>
      </c>
      <c r="Q34" s="7">
        <f t="shared" ref="Q34:Q65" si="12">N34/L34/P34</f>
        <v>17.033146003635032</v>
      </c>
      <c r="R34" s="7">
        <f t="shared" si="7"/>
        <v>1.2312948690920575</v>
      </c>
    </row>
    <row r="35" spans="1:27" s="6" customFormat="1">
      <c r="A35" s="6" t="s">
        <v>206</v>
      </c>
      <c r="B35" s="6">
        <v>30</v>
      </c>
      <c r="C35" s="6">
        <v>12</v>
      </c>
      <c r="D35" s="6">
        <v>1</v>
      </c>
      <c r="E35" s="6">
        <v>19.329999999999998</v>
      </c>
      <c r="F35" s="6">
        <v>19.399999999999999</v>
      </c>
      <c r="G35" s="6">
        <v>19.47</v>
      </c>
      <c r="H35" s="6">
        <f t="shared" si="1"/>
        <v>19.399999999999999</v>
      </c>
      <c r="I35" s="6">
        <f t="shared" si="2"/>
        <v>7.0000000000000284E-2</v>
      </c>
      <c r="J35" s="6">
        <f>J34-J32</f>
        <v>3.3599999999999994</v>
      </c>
      <c r="K35" s="6">
        <v>12.81875</v>
      </c>
      <c r="L35" s="6">
        <f t="shared" si="3"/>
        <v>1.281875E-5</v>
      </c>
      <c r="M35" s="6">
        <f t="shared" si="11"/>
        <v>423322.60544104403</v>
      </c>
      <c r="N35" s="6">
        <f t="shared" si="4"/>
        <v>2.3622645876851707E-6</v>
      </c>
      <c r="O35" s="7">
        <f t="shared" si="5"/>
        <v>2362.2645876851707</v>
      </c>
      <c r="P35" s="6">
        <v>4.7860185473817027E-2</v>
      </c>
      <c r="Q35" s="6">
        <f t="shared" si="12"/>
        <v>3.8504233693796044</v>
      </c>
      <c r="R35" s="6">
        <f t="shared" si="7"/>
        <v>0.5855084845413695</v>
      </c>
      <c r="AA35" s="6" t="s">
        <v>1074</v>
      </c>
    </row>
    <row r="36" spans="1:27" s="6" customFormat="1">
      <c r="A36" s="6" t="s">
        <v>207</v>
      </c>
      <c r="B36" s="6">
        <v>30</v>
      </c>
      <c r="C36" s="6">
        <v>12</v>
      </c>
      <c r="D36" s="6">
        <v>1</v>
      </c>
      <c r="E36" s="6">
        <v>19.98</v>
      </c>
      <c r="F36" s="6">
        <v>20.04</v>
      </c>
      <c r="G36" s="6">
        <v>20.059999999999999</v>
      </c>
      <c r="H36" s="6">
        <f t="shared" si="1"/>
        <v>20.026666666666667</v>
      </c>
      <c r="I36" s="6">
        <f t="shared" si="2"/>
        <v>4.1633319989321765E-2</v>
      </c>
      <c r="J36" s="6">
        <f>J32-J30</f>
        <v>3.5266666666666708</v>
      </c>
      <c r="K36" s="6">
        <v>7.3</v>
      </c>
      <c r="L36" s="6">
        <f t="shared" si="3"/>
        <v>7.2999999999999996E-6</v>
      </c>
      <c r="M36" s="6">
        <f t="shared" si="11"/>
        <v>643319.15607549925</v>
      </c>
      <c r="N36" s="6">
        <f t="shared" si="4"/>
        <v>1.5544384005295204E-6</v>
      </c>
      <c r="O36" s="7">
        <f t="shared" si="5"/>
        <v>1554.4384005295203</v>
      </c>
      <c r="P36" s="6">
        <v>4.3631907505871662E-2</v>
      </c>
      <c r="Q36" s="6">
        <f t="shared" si="12"/>
        <v>4.8802992893943324</v>
      </c>
      <c r="R36" s="6">
        <f t="shared" si="7"/>
        <v>0.68844645637705459</v>
      </c>
      <c r="X36" s="6">
        <v>27</v>
      </c>
      <c r="Y36" s="6">
        <v>6</v>
      </c>
      <c r="Z36" s="6">
        <v>1</v>
      </c>
      <c r="AA36" s="6">
        <f>AVERAGE(O10:O12)</f>
        <v>3350.9708366071904</v>
      </c>
    </row>
    <row r="37" spans="1:27" s="6" customFormat="1">
      <c r="A37" s="6" t="s">
        <v>208</v>
      </c>
      <c r="B37" s="6">
        <v>30</v>
      </c>
      <c r="C37" s="6">
        <v>12</v>
      </c>
      <c r="D37" s="6">
        <v>1</v>
      </c>
      <c r="E37" s="6">
        <v>20.11</v>
      </c>
      <c r="F37" s="6">
        <v>20.18</v>
      </c>
      <c r="G37" s="6">
        <v>19.940000000000001</v>
      </c>
      <c r="H37" s="6">
        <f t="shared" si="1"/>
        <v>20.076666666666668</v>
      </c>
      <c r="I37" s="6">
        <f t="shared" si="2"/>
        <v>0.12342339054382322</v>
      </c>
      <c r="J37" s="6">
        <f>AVERAGE(J35:J36)</f>
        <v>3.4433333333333351</v>
      </c>
      <c r="K37" s="6">
        <v>12.737500000000001</v>
      </c>
      <c r="L37" s="6">
        <f t="shared" si="3"/>
        <v>1.2737500000000001E-5</v>
      </c>
      <c r="M37" s="6">
        <f t="shared" si="11"/>
        <v>665163.20023129473</v>
      </c>
      <c r="N37" s="6">
        <f t="shared" si="4"/>
        <v>1.5033904456113533E-6</v>
      </c>
      <c r="O37" s="7">
        <f t="shared" si="5"/>
        <v>1503.3904456113532</v>
      </c>
      <c r="P37" s="6">
        <v>3.520373738230656E-2</v>
      </c>
      <c r="Q37" s="6">
        <f t="shared" si="12"/>
        <v>3.3527318206896197</v>
      </c>
      <c r="R37" s="6">
        <f t="shared" si="7"/>
        <v>0.5253988163418517</v>
      </c>
      <c r="X37" s="6">
        <v>27</v>
      </c>
      <c r="Y37" s="6">
        <v>6</v>
      </c>
      <c r="Z37" s="6">
        <v>2</v>
      </c>
      <c r="AA37" s="6">
        <f>AVERAGE(O13:O15)</f>
        <v>1634.8850552520441</v>
      </c>
    </row>
    <row r="38" spans="1:27" s="6" customFormat="1">
      <c r="A38" s="6" t="s">
        <v>209</v>
      </c>
      <c r="B38" s="6">
        <v>30</v>
      </c>
      <c r="C38" s="6">
        <v>12</v>
      </c>
      <c r="D38" s="6">
        <v>2</v>
      </c>
      <c r="E38" s="6">
        <v>20.11</v>
      </c>
      <c r="F38" s="6">
        <v>20.059999999999999</v>
      </c>
      <c r="G38" s="6">
        <v>20.149999999999999</v>
      </c>
      <c r="H38" s="6">
        <f t="shared" si="1"/>
        <v>20.106666666666666</v>
      </c>
      <c r="I38" s="6">
        <f t="shared" si="2"/>
        <v>4.50924975282289E-2</v>
      </c>
      <c r="K38" s="6">
        <v>3.7062499999999998</v>
      </c>
      <c r="L38" s="6">
        <f t="shared" si="3"/>
        <v>3.7062499999999999E-6</v>
      </c>
      <c r="M38" s="6">
        <f t="shared" si="11"/>
        <v>678624.05900571833</v>
      </c>
      <c r="N38" s="6">
        <f t="shared" si="4"/>
        <v>1.4735699195002659E-6</v>
      </c>
      <c r="O38" s="7">
        <f t="shared" si="5"/>
        <v>1473.569919500266</v>
      </c>
      <c r="P38" s="6">
        <v>2.9661129079113682E-2</v>
      </c>
      <c r="Q38" s="6">
        <f t="shared" si="12"/>
        <v>13.404430212752251</v>
      </c>
      <c r="R38" s="6">
        <f t="shared" si="7"/>
        <v>1.1272483579894077</v>
      </c>
      <c r="X38" s="6">
        <v>27</v>
      </c>
      <c r="Y38" s="6">
        <v>6</v>
      </c>
      <c r="Z38" s="6">
        <v>3</v>
      </c>
      <c r="AA38" s="6">
        <f>AVERAGE(O16:O18)</f>
        <v>1641.6970254091377</v>
      </c>
    </row>
    <row r="39" spans="1:27" s="6" customFormat="1">
      <c r="A39" s="6" t="s">
        <v>210</v>
      </c>
      <c r="B39" s="6">
        <v>30</v>
      </c>
      <c r="C39" s="6">
        <v>12</v>
      </c>
      <c r="D39" s="6">
        <v>2</v>
      </c>
      <c r="E39" s="6">
        <v>20.86</v>
      </c>
      <c r="F39" s="6">
        <v>21.02</v>
      </c>
      <c r="G39" s="6">
        <v>21.07</v>
      </c>
      <c r="H39" s="6">
        <f t="shared" si="1"/>
        <v>20.983333333333331</v>
      </c>
      <c r="I39" s="6">
        <f t="shared" si="2"/>
        <v>0.10969655114602926</v>
      </c>
      <c r="J39" s="6" t="s">
        <v>17</v>
      </c>
      <c r="K39" s="6">
        <v>12.112500000000001</v>
      </c>
      <c r="L39" s="6">
        <f t="shared" si="3"/>
        <v>1.2112500000000001E-5</v>
      </c>
      <c r="M39" s="6">
        <f t="shared" si="11"/>
        <v>1218689.1045468245</v>
      </c>
      <c r="N39" s="6">
        <f t="shared" si="4"/>
        <v>8.2055381989474251E-7</v>
      </c>
      <c r="O39" s="7">
        <f t="shared" si="5"/>
        <v>820.55381989474256</v>
      </c>
      <c r="P39" s="6">
        <v>2.3954138406173487E-2</v>
      </c>
      <c r="Q39" s="6">
        <f t="shared" si="12"/>
        <v>2.8280867492190596</v>
      </c>
      <c r="R39" s="6">
        <f t="shared" si="7"/>
        <v>0.45149272695276876</v>
      </c>
      <c r="X39" s="6">
        <v>30</v>
      </c>
      <c r="Y39" s="6">
        <v>6</v>
      </c>
      <c r="Z39" s="6">
        <v>1</v>
      </c>
      <c r="AA39" s="6">
        <f>AVERAGE(O19:O20)</f>
        <v>1067.3133775356455</v>
      </c>
    </row>
    <row r="40" spans="1:27" s="6" customFormat="1">
      <c r="A40" s="6" t="s">
        <v>211</v>
      </c>
      <c r="B40" s="6">
        <v>30</v>
      </c>
      <c r="C40" s="6">
        <v>12</v>
      </c>
      <c r="D40" s="6">
        <v>2</v>
      </c>
      <c r="E40" s="6">
        <v>19.03</v>
      </c>
      <c r="F40" s="6">
        <v>19.04</v>
      </c>
      <c r="G40" s="6">
        <v>19.149999999999999</v>
      </c>
      <c r="H40" s="6">
        <f t="shared" si="1"/>
        <v>19.073333333333334</v>
      </c>
      <c r="I40" s="6">
        <f t="shared" si="2"/>
        <v>6.6583281184792953E-2</v>
      </c>
      <c r="J40" s="6" t="s">
        <v>130</v>
      </c>
      <c r="K40" s="6">
        <v>10.4375</v>
      </c>
      <c r="L40" s="6">
        <f t="shared" si="3"/>
        <v>1.04375E-5</v>
      </c>
      <c r="M40" s="6">
        <f t="shared" si="11"/>
        <v>340350.8352370233</v>
      </c>
      <c r="N40" s="6">
        <f t="shared" si="4"/>
        <v>2.9381446920898293E-6</v>
      </c>
      <c r="O40" s="7">
        <f t="shared" si="5"/>
        <v>2938.1446920898293</v>
      </c>
      <c r="P40" s="6">
        <v>3.7364824388522178E-2</v>
      </c>
      <c r="Q40" s="6">
        <f t="shared" si="12"/>
        <v>7.533794076703451</v>
      </c>
      <c r="R40" s="6">
        <f t="shared" si="7"/>
        <v>0.87701374533717169</v>
      </c>
      <c r="X40" s="6">
        <v>30</v>
      </c>
      <c r="Y40" s="6">
        <v>6</v>
      </c>
      <c r="Z40" s="6">
        <v>2</v>
      </c>
      <c r="AA40" s="6">
        <f>AVERAGE(O21:O22)</f>
        <v>1117.6141220487491</v>
      </c>
    </row>
    <row r="41" spans="1:27" s="6" customFormat="1">
      <c r="A41" s="6" t="s">
        <v>212</v>
      </c>
      <c r="B41" s="6">
        <v>30</v>
      </c>
      <c r="C41" s="6">
        <v>12</v>
      </c>
      <c r="D41" s="6">
        <v>3</v>
      </c>
      <c r="E41" s="6">
        <v>19.13</v>
      </c>
      <c r="F41" s="6">
        <v>19.239999999999998</v>
      </c>
      <c r="G41" s="6">
        <v>19.440000000000001</v>
      </c>
      <c r="H41" s="6">
        <f t="shared" si="1"/>
        <v>19.27</v>
      </c>
      <c r="I41" s="12">
        <f t="shared" si="2"/>
        <v>0.1571623364550184</v>
      </c>
      <c r="J41" s="6" t="s">
        <v>18</v>
      </c>
      <c r="K41" s="6">
        <v>4.1124999999999998</v>
      </c>
      <c r="L41" s="6">
        <f t="shared" si="3"/>
        <v>4.1125E-6</v>
      </c>
      <c r="M41" s="6">
        <f t="shared" si="11"/>
        <v>388120.83849288704</v>
      </c>
      <c r="N41" s="6">
        <f t="shared" si="4"/>
        <v>2.5765171586331266E-6</v>
      </c>
      <c r="O41" s="7">
        <f t="shared" si="5"/>
        <v>2576.5171586331267</v>
      </c>
      <c r="P41" s="6">
        <v>2.3972442722407821E-2</v>
      </c>
      <c r="Q41" s="6">
        <f t="shared" si="12"/>
        <v>26.134538679986296</v>
      </c>
      <c r="R41" s="6">
        <f t="shared" si="7"/>
        <v>1.4172148384492818</v>
      </c>
      <c r="X41" s="6">
        <v>30</v>
      </c>
      <c r="Y41" s="6">
        <v>6</v>
      </c>
      <c r="Z41" s="6">
        <v>3</v>
      </c>
      <c r="AA41" s="6">
        <f>AVERAGE(O23:O25)</f>
        <v>1646.0751142184383</v>
      </c>
    </row>
    <row r="42" spans="1:27" s="6" customFormat="1">
      <c r="A42" s="6" t="s">
        <v>14</v>
      </c>
      <c r="B42" s="6">
        <v>30</v>
      </c>
      <c r="C42" s="6">
        <v>12</v>
      </c>
      <c r="D42" s="6">
        <v>3</v>
      </c>
      <c r="E42" s="6">
        <v>17.170000000000002</v>
      </c>
      <c r="F42" s="6">
        <v>17.21</v>
      </c>
      <c r="G42" s="6">
        <v>17.329999999999998</v>
      </c>
      <c r="H42" s="12">
        <f t="shared" si="1"/>
        <v>17.236666666666668</v>
      </c>
      <c r="I42" s="6">
        <f t="shared" si="2"/>
        <v>8.3266639978643531E-2</v>
      </c>
      <c r="K42" s="6">
        <v>8.2062500000000007</v>
      </c>
      <c r="L42" s="6">
        <f t="shared" si="3"/>
        <v>8.2062500000000013E-6</v>
      </c>
      <c r="M42" s="6">
        <f t="shared" si="11"/>
        <v>99822.839147978229</v>
      </c>
      <c r="N42" s="6">
        <f t="shared" si="4"/>
        <v>1.0017747526871995E-5</v>
      </c>
      <c r="O42" s="7">
        <f t="shared" si="5"/>
        <v>10017.747526871995</v>
      </c>
      <c r="P42" s="6">
        <v>5.8986719016510557E-2</v>
      </c>
      <c r="Q42" s="6">
        <f t="shared" si="12"/>
        <v>20.695270076262041</v>
      </c>
      <c r="R42" s="6">
        <f t="shared" si="7"/>
        <v>1.3158710983794437</v>
      </c>
      <c r="X42" s="6">
        <v>27</v>
      </c>
      <c r="Y42" s="6">
        <v>12</v>
      </c>
      <c r="Z42" s="6">
        <v>1</v>
      </c>
      <c r="AA42" s="6">
        <f>AVERAGE(O26:O28)</f>
        <v>2462.5312913353546</v>
      </c>
    </row>
    <row r="43" spans="1:27" s="7" customFormat="1">
      <c r="A43" s="7" t="s">
        <v>77</v>
      </c>
      <c r="B43" s="7">
        <v>27</v>
      </c>
      <c r="C43" s="7">
        <v>24</v>
      </c>
      <c r="D43" s="7">
        <v>1</v>
      </c>
      <c r="E43" s="7">
        <v>19.170000000000002</v>
      </c>
      <c r="F43" s="7">
        <v>19.16</v>
      </c>
      <c r="G43" s="7">
        <v>19.190000000000001</v>
      </c>
      <c r="H43" s="7">
        <f t="shared" si="1"/>
        <v>19.173333333333332</v>
      </c>
      <c r="I43" s="7">
        <f t="shared" si="2"/>
        <v>1.5275252316519916E-2</v>
      </c>
      <c r="K43" s="7">
        <v>3.5750000000000002</v>
      </c>
      <c r="L43" s="7">
        <f t="shared" si="3"/>
        <v>3.5750000000000001E-6</v>
      </c>
      <c r="M43" s="7">
        <f t="shared" si="11"/>
        <v>363856.62082353083</v>
      </c>
      <c r="N43" s="7">
        <f t="shared" si="4"/>
        <v>2.7483353133348547E-6</v>
      </c>
      <c r="O43" s="7">
        <f t="shared" si="5"/>
        <v>2748.3353133348546</v>
      </c>
      <c r="P43" s="7">
        <v>2.6890444733668483E-2</v>
      </c>
      <c r="Q43" s="7">
        <f t="shared" si="12"/>
        <v>28.588784240098757</v>
      </c>
      <c r="R43" s="7">
        <f t="shared" si="7"/>
        <v>1.4561956870458859</v>
      </c>
      <c r="X43" s="6">
        <v>27</v>
      </c>
      <c r="Y43" s="7">
        <v>12</v>
      </c>
      <c r="Z43" s="6">
        <v>2</v>
      </c>
      <c r="AA43" s="7">
        <f>AVERAGE(O29:O31)</f>
        <v>5624.0438446008184</v>
      </c>
    </row>
    <row r="44" spans="1:27" s="7" customFormat="1">
      <c r="A44" s="7" t="s">
        <v>78</v>
      </c>
      <c r="B44" s="7">
        <v>27</v>
      </c>
      <c r="C44" s="7">
        <v>24</v>
      </c>
      <c r="D44" s="7">
        <v>1</v>
      </c>
      <c r="E44" s="7">
        <v>18.739999999999998</v>
      </c>
      <c r="F44" s="7">
        <v>18.920000000000002</v>
      </c>
      <c r="G44" s="7">
        <v>19</v>
      </c>
      <c r="H44" s="7">
        <f t="shared" si="1"/>
        <v>18.886666666666667</v>
      </c>
      <c r="I44" s="7">
        <f t="shared" si="2"/>
        <v>0.13316656236958893</v>
      </c>
      <c r="K44" s="7">
        <v>9.3187499999999996</v>
      </c>
      <c r="L44" s="7">
        <f t="shared" si="3"/>
        <v>9.3187499999999995E-6</v>
      </c>
      <c r="M44" s="7">
        <f t="shared" si="11"/>
        <v>300460.25161406217</v>
      </c>
      <c r="N44" s="7">
        <f t="shared" si="4"/>
        <v>3.3282272601052362E-6</v>
      </c>
      <c r="O44" s="7">
        <f t="shared" si="5"/>
        <v>3328.2272601052364</v>
      </c>
      <c r="P44" s="7">
        <v>3.4113539495135799E-2</v>
      </c>
      <c r="Q44" s="7">
        <f t="shared" si="12"/>
        <v>10.46956240878664</v>
      </c>
      <c r="R44" s="7">
        <f t="shared" si="7"/>
        <v>1.0199285300627188</v>
      </c>
      <c r="X44" s="6">
        <v>27</v>
      </c>
      <c r="Y44" s="7">
        <v>12</v>
      </c>
      <c r="Z44" s="6">
        <v>3</v>
      </c>
      <c r="AA44" s="7">
        <f>AVERAGE(O32:O34)</f>
        <v>3114.0013055415707</v>
      </c>
    </row>
    <row r="45" spans="1:27" s="7" customFormat="1">
      <c r="A45" s="7" t="s">
        <v>79</v>
      </c>
      <c r="B45" s="7">
        <v>27</v>
      </c>
      <c r="C45" s="7">
        <v>24</v>
      </c>
      <c r="D45" s="7">
        <v>1</v>
      </c>
      <c r="E45" s="7">
        <v>18.28</v>
      </c>
      <c r="F45" s="7">
        <v>18.420000000000002</v>
      </c>
      <c r="G45" s="7">
        <v>18.38</v>
      </c>
      <c r="H45" s="7">
        <f t="shared" si="1"/>
        <v>18.36</v>
      </c>
      <c r="I45" s="7">
        <f t="shared" si="2"/>
        <v>7.2111025509279725E-2</v>
      </c>
      <c r="K45" s="7">
        <v>6.375</v>
      </c>
      <c r="L45" s="7">
        <f t="shared" si="3"/>
        <v>6.3749999999999999E-6</v>
      </c>
      <c r="M45" s="7">
        <f t="shared" si="11"/>
        <v>211366.16350236748</v>
      </c>
      <c r="N45" s="7">
        <f t="shared" si="4"/>
        <v>4.7311262286728272E-6</v>
      </c>
      <c r="O45" s="7">
        <f t="shared" si="5"/>
        <v>4731.126228672827</v>
      </c>
      <c r="P45" s="7">
        <v>4.5923993407789805E-2</v>
      </c>
      <c r="Q45" s="7">
        <f t="shared" si="12"/>
        <v>16.160124426571951</v>
      </c>
      <c r="R45" s="7">
        <f t="shared" si="7"/>
        <v>1.2084447003473275</v>
      </c>
      <c r="X45" s="6">
        <v>30</v>
      </c>
      <c r="Y45" s="6">
        <v>12</v>
      </c>
      <c r="Z45" s="6">
        <v>1</v>
      </c>
      <c r="AA45" s="7">
        <f>AVERAGE(O35:O37)</f>
        <v>1806.6978112753479</v>
      </c>
    </row>
    <row r="46" spans="1:27" s="7" customFormat="1">
      <c r="A46" s="7" t="s">
        <v>80</v>
      </c>
      <c r="B46" s="7">
        <v>27</v>
      </c>
      <c r="C46" s="7">
        <v>24</v>
      </c>
      <c r="D46" s="7">
        <v>2</v>
      </c>
      <c r="E46" s="7">
        <v>20.399999999999999</v>
      </c>
      <c r="F46" s="7">
        <v>20.5</v>
      </c>
      <c r="G46" s="7">
        <v>20.59</v>
      </c>
      <c r="H46" s="7">
        <f t="shared" si="1"/>
        <v>20.496666666666666</v>
      </c>
      <c r="I46" s="7">
        <f t="shared" si="2"/>
        <v>9.5043849529222332E-2</v>
      </c>
      <c r="K46" s="7">
        <v>5.03125</v>
      </c>
      <c r="L46" s="7">
        <f t="shared" si="3"/>
        <v>5.0312500000000003E-6</v>
      </c>
      <c r="M46" s="7">
        <f t="shared" si="11"/>
        <v>880527.14885210339</v>
      </c>
      <c r="N46" s="7">
        <f t="shared" si="4"/>
        <v>1.135683324817011E-6</v>
      </c>
      <c r="O46" s="7">
        <f t="shared" si="5"/>
        <v>1135.683324817011</v>
      </c>
      <c r="P46" s="7">
        <v>5.0378890985600847E-2</v>
      </c>
      <c r="Q46" s="7">
        <f t="shared" si="12"/>
        <v>4.4805646533389432</v>
      </c>
      <c r="R46" s="7">
        <f t="shared" si="7"/>
        <v>0.65133274845721056</v>
      </c>
      <c r="X46" s="6">
        <v>30</v>
      </c>
      <c r="Y46" s="7">
        <v>12</v>
      </c>
      <c r="Z46" s="6">
        <v>2</v>
      </c>
      <c r="AA46" s="7">
        <f>AVERAGE(O38:O40)</f>
        <v>1744.0894771616124</v>
      </c>
    </row>
    <row r="47" spans="1:27" s="7" customFormat="1">
      <c r="A47" s="7" t="s">
        <v>81</v>
      </c>
      <c r="B47" s="7">
        <v>27</v>
      </c>
      <c r="C47" s="7">
        <v>24</v>
      </c>
      <c r="D47" s="7">
        <v>2</v>
      </c>
      <c r="E47" s="7">
        <v>18.82</v>
      </c>
      <c r="F47" s="7">
        <v>19.09</v>
      </c>
      <c r="G47" s="7">
        <v>19.07</v>
      </c>
      <c r="H47" s="7">
        <f t="shared" si="1"/>
        <v>18.993333333333332</v>
      </c>
      <c r="I47" s="10">
        <f t="shared" si="2"/>
        <v>0.15044378795195665</v>
      </c>
      <c r="K47" s="7">
        <v>3.3125</v>
      </c>
      <c r="L47" s="7">
        <f t="shared" si="3"/>
        <v>3.3125E-6</v>
      </c>
      <c r="M47" s="7">
        <f t="shared" si="11"/>
        <v>322644.34069000167</v>
      </c>
      <c r="N47" s="7">
        <f t="shared" si="4"/>
        <v>3.0993880068108962E-6</v>
      </c>
      <c r="O47" s="7">
        <f t="shared" si="5"/>
        <v>3099.3880068108961</v>
      </c>
      <c r="P47" s="7">
        <v>7.2560481711389721E-2</v>
      </c>
      <c r="Q47" s="7">
        <f t="shared" si="12"/>
        <v>12.894957170550896</v>
      </c>
      <c r="R47" s="7">
        <f t="shared" si="7"/>
        <v>1.1104199040059999</v>
      </c>
      <c r="X47" s="6">
        <v>30</v>
      </c>
      <c r="Y47" s="7">
        <v>12</v>
      </c>
      <c r="Z47" s="6">
        <v>3</v>
      </c>
      <c r="AA47" s="7">
        <f>AVERAGE(O41:O42)</f>
        <v>6297.1323427525613</v>
      </c>
    </row>
    <row r="48" spans="1:27" s="7" customFormat="1">
      <c r="A48" s="7" t="s">
        <v>82</v>
      </c>
      <c r="B48" s="7">
        <v>27</v>
      </c>
      <c r="C48" s="7">
        <v>24</v>
      </c>
      <c r="D48" s="7">
        <v>2</v>
      </c>
      <c r="E48" s="7">
        <v>20.399999999999999</v>
      </c>
      <c r="F48" s="7">
        <v>20.46</v>
      </c>
      <c r="G48" s="7">
        <v>20.58</v>
      </c>
      <c r="H48" s="7">
        <f t="shared" si="1"/>
        <v>20.48</v>
      </c>
      <c r="I48" s="7">
        <f t="shared" si="2"/>
        <v>9.1651513899116396E-2</v>
      </c>
      <c r="K48" s="7">
        <v>5.7562499999999996</v>
      </c>
      <c r="L48" s="7">
        <f t="shared" si="3"/>
        <v>5.7562499999999993E-6</v>
      </c>
      <c r="M48" s="7">
        <f t="shared" si="11"/>
        <v>870780.79211144848</v>
      </c>
      <c r="N48" s="7">
        <f t="shared" si="4"/>
        <v>1.1483946465737076E-6</v>
      </c>
      <c r="O48" s="7">
        <f t="shared" si="5"/>
        <v>1148.3946465737076</v>
      </c>
      <c r="P48" s="7">
        <v>3.1675694387474765E-2</v>
      </c>
      <c r="Q48" s="7">
        <f t="shared" si="12"/>
        <v>6.2983293604639945</v>
      </c>
      <c r="R48" s="7">
        <f t="shared" si="7"/>
        <v>0.79922536758855345</v>
      </c>
      <c r="X48" s="6">
        <v>27</v>
      </c>
      <c r="Y48" s="7">
        <v>24</v>
      </c>
      <c r="Z48" s="6">
        <v>1</v>
      </c>
      <c r="AA48" s="7">
        <f>AVERAGE(O43:O45)</f>
        <v>3602.5629340376395</v>
      </c>
    </row>
    <row r="49" spans="1:27" s="7" customFormat="1">
      <c r="A49" s="7" t="s">
        <v>10</v>
      </c>
      <c r="B49" s="7">
        <v>27</v>
      </c>
      <c r="C49" s="7">
        <v>24</v>
      </c>
      <c r="D49" s="7">
        <v>3</v>
      </c>
      <c r="E49" s="7">
        <v>20.55</v>
      </c>
      <c r="F49" s="7">
        <v>20.61</v>
      </c>
      <c r="G49" s="7">
        <v>20.47</v>
      </c>
      <c r="H49" s="7">
        <f t="shared" si="1"/>
        <v>20.543333333333333</v>
      </c>
      <c r="I49" s="7">
        <f t="shared" si="2"/>
        <v>7.0237691685685277E-2</v>
      </c>
      <c r="K49" s="7">
        <v>8.25</v>
      </c>
      <c r="L49" s="7">
        <f t="shared" si="3"/>
        <v>8.2500000000000006E-6</v>
      </c>
      <c r="M49" s="7">
        <f t="shared" si="11"/>
        <v>908401.2003596517</v>
      </c>
      <c r="N49" s="7">
        <f t="shared" si="4"/>
        <v>1.1008351811997638E-6</v>
      </c>
      <c r="O49" s="7">
        <f t="shared" si="5"/>
        <v>1100.8351811997638</v>
      </c>
      <c r="P49" s="7">
        <v>2.9357705416464916E-2</v>
      </c>
      <c r="Q49" s="7">
        <f t="shared" si="12"/>
        <v>4.5451293118881839</v>
      </c>
      <c r="R49" s="7">
        <f t="shared" si="7"/>
        <v>0.65754624369452941</v>
      </c>
      <c r="X49" s="6">
        <v>27</v>
      </c>
      <c r="Y49" s="7">
        <v>24</v>
      </c>
      <c r="Z49" s="6">
        <v>2</v>
      </c>
      <c r="AA49" s="7">
        <f>AVERAGE(O46:O48)</f>
        <v>1794.4886594005384</v>
      </c>
    </row>
    <row r="50" spans="1:27" s="7" customFormat="1">
      <c r="A50" s="7" t="s">
        <v>148</v>
      </c>
      <c r="B50" s="7">
        <v>27</v>
      </c>
      <c r="C50" s="7">
        <v>24</v>
      </c>
      <c r="D50" s="7">
        <v>3</v>
      </c>
      <c r="E50" s="7">
        <v>21.06</v>
      </c>
      <c r="F50" s="7">
        <v>21.13</v>
      </c>
      <c r="G50" s="7">
        <v>21.26</v>
      </c>
      <c r="H50" s="7">
        <f t="shared" si="1"/>
        <v>21.150000000000002</v>
      </c>
      <c r="I50" s="7">
        <f t="shared" si="2"/>
        <v>0.1014889156509237</v>
      </c>
      <c r="K50" s="7">
        <v>9.3874999999999993</v>
      </c>
      <c r="L50" s="7">
        <f t="shared" si="3"/>
        <v>9.3874999999999995E-6</v>
      </c>
      <c r="M50" s="7">
        <f t="shared" si="11"/>
        <v>1362172.2552459908</v>
      </c>
      <c r="N50" s="7">
        <f t="shared" si="4"/>
        <v>7.3412154457617616E-7</v>
      </c>
      <c r="O50" s="7">
        <f t="shared" si="5"/>
        <v>734.12154457617612</v>
      </c>
      <c r="P50" s="7">
        <v>2.4796762213407972E-2</v>
      </c>
      <c r="Q50" s="7">
        <f t="shared" si="12"/>
        <v>3.1537193462386184</v>
      </c>
      <c r="R50" s="7">
        <f t="shared" si="7"/>
        <v>0.49882304225757979</v>
      </c>
      <c r="X50" s="6">
        <v>27</v>
      </c>
      <c r="Y50" s="7">
        <v>24</v>
      </c>
      <c r="Z50" s="6">
        <v>3</v>
      </c>
      <c r="AA50" s="7">
        <f>AVERAGE(O49:O51)</f>
        <v>881.54120492974914</v>
      </c>
    </row>
    <row r="51" spans="1:27" s="7" customFormat="1">
      <c r="A51" s="7" t="s">
        <v>149</v>
      </c>
      <c r="B51" s="7">
        <v>27</v>
      </c>
      <c r="C51" s="7">
        <v>24</v>
      </c>
      <c r="D51" s="7">
        <v>3</v>
      </c>
      <c r="E51" s="7">
        <v>20.86</v>
      </c>
      <c r="F51" s="7">
        <v>21.07</v>
      </c>
      <c r="G51" s="7">
        <v>21.08</v>
      </c>
      <c r="H51" s="7">
        <f t="shared" si="1"/>
        <v>21.003333333333334</v>
      </c>
      <c r="I51" s="7">
        <f t="shared" si="2"/>
        <v>0.12423096769056137</v>
      </c>
      <c r="K51" s="7">
        <v>9.8187499999999996</v>
      </c>
      <c r="L51" s="7">
        <f t="shared" si="3"/>
        <v>9.8187499999999998E-6</v>
      </c>
      <c r="M51" s="7">
        <f t="shared" si="11"/>
        <v>1235075.8238596621</v>
      </c>
      <c r="N51" s="7">
        <f t="shared" si="4"/>
        <v>8.0966688901330722E-7</v>
      </c>
      <c r="O51" s="7">
        <f t="shared" si="5"/>
        <v>809.66688901330724</v>
      </c>
      <c r="P51" s="7">
        <v>2.2511116468855643E-2</v>
      </c>
      <c r="Q51" s="7">
        <f t="shared" si="12"/>
        <v>3.6631368362937082</v>
      </c>
      <c r="R51" s="7">
        <f t="shared" si="7"/>
        <v>0.5638531420162558</v>
      </c>
      <c r="X51" s="6">
        <v>30</v>
      </c>
      <c r="Y51" s="7">
        <v>24</v>
      </c>
      <c r="Z51" s="6">
        <v>1</v>
      </c>
      <c r="AA51" s="7">
        <f>AVERAGE(O52:O54)</f>
        <v>2017.9474856498439</v>
      </c>
    </row>
    <row r="52" spans="1:27" s="6" customFormat="1">
      <c r="A52" s="6" t="s">
        <v>235</v>
      </c>
      <c r="B52" s="6">
        <v>30</v>
      </c>
      <c r="C52" s="6">
        <v>24</v>
      </c>
      <c r="D52" s="6">
        <v>1</v>
      </c>
      <c r="E52" s="6">
        <v>20.89</v>
      </c>
      <c r="F52" s="6">
        <v>21.01</v>
      </c>
      <c r="G52" s="6">
        <v>20.96</v>
      </c>
      <c r="H52" s="6">
        <f t="shared" si="1"/>
        <v>20.953333333333337</v>
      </c>
      <c r="I52" s="6">
        <f t="shared" si="2"/>
        <v>6.0277137733417564E-2</v>
      </c>
      <c r="K52" s="6">
        <v>4.3499999999999996</v>
      </c>
      <c r="L52" s="6">
        <f t="shared" si="3"/>
        <v>4.3499999999999999E-6</v>
      </c>
      <c r="M52" s="6">
        <f t="shared" si="11"/>
        <v>1194515.7766069549</v>
      </c>
      <c r="N52" s="6">
        <f t="shared" si="4"/>
        <v>8.3715930721360529E-7</v>
      </c>
      <c r="O52" s="7">
        <f t="shared" si="5"/>
        <v>837.1593072136053</v>
      </c>
      <c r="P52" s="6">
        <v>2.6033905205935768E-2</v>
      </c>
      <c r="Q52" s="6">
        <f t="shared" si="12"/>
        <v>7.3922991548545909</v>
      </c>
      <c r="R52" s="6">
        <f t="shared" si="7"/>
        <v>0.86877953379020112</v>
      </c>
      <c r="X52" s="6">
        <v>30</v>
      </c>
      <c r="Y52" s="7">
        <v>24</v>
      </c>
      <c r="Z52" s="6">
        <v>2</v>
      </c>
      <c r="AA52" s="6">
        <f>AVERAGE(O55:O56)</f>
        <v>1007.0367622937138</v>
      </c>
    </row>
    <row r="53" spans="1:27" s="6" customFormat="1">
      <c r="A53" s="6" t="s">
        <v>236</v>
      </c>
      <c r="B53" s="6">
        <v>30</v>
      </c>
      <c r="C53" s="6">
        <v>24</v>
      </c>
      <c r="D53" s="6">
        <v>1</v>
      </c>
      <c r="E53" s="6">
        <v>19.059999999999999</v>
      </c>
      <c r="F53" s="6">
        <v>19.04</v>
      </c>
      <c r="G53" s="6">
        <v>19.03</v>
      </c>
      <c r="H53" s="6">
        <f t="shared" si="1"/>
        <v>19.043333333333333</v>
      </c>
      <c r="I53" s="6">
        <f t="shared" si="2"/>
        <v>1.5275252316518365E-2</v>
      </c>
      <c r="J53" s="6" t="s">
        <v>165</v>
      </c>
      <c r="K53" s="6">
        <v>5.85</v>
      </c>
      <c r="L53" s="6">
        <f t="shared" si="3"/>
        <v>5.8499999999999999E-6</v>
      </c>
      <c r="M53" s="6">
        <f t="shared" si="11"/>
        <v>333599.80060144688</v>
      </c>
      <c r="N53" s="6">
        <f t="shared" si="4"/>
        <v>2.9976037101853795E-6</v>
      </c>
      <c r="O53" s="7">
        <f t="shared" si="5"/>
        <v>2997.6037101853794</v>
      </c>
      <c r="P53" s="6">
        <v>7.1969637026498792E-2</v>
      </c>
      <c r="Q53" s="6">
        <f t="shared" si="12"/>
        <v>7.1198204103949116</v>
      </c>
      <c r="R53" s="6">
        <f t="shared" si="7"/>
        <v>0.85246903917644135</v>
      </c>
      <c r="X53" s="6">
        <v>30</v>
      </c>
      <c r="Y53" s="7">
        <v>24</v>
      </c>
      <c r="Z53" s="6">
        <v>3</v>
      </c>
      <c r="AA53" s="6">
        <f>AVERAGE(O57:O58)</f>
        <v>1815.1031761889512</v>
      </c>
    </row>
    <row r="54" spans="1:27" s="6" customFormat="1">
      <c r="A54" s="6" t="s">
        <v>237</v>
      </c>
      <c r="B54" s="6">
        <v>30</v>
      </c>
      <c r="C54" s="6">
        <v>24</v>
      </c>
      <c r="D54" s="6">
        <v>1</v>
      </c>
      <c r="E54" s="6">
        <v>18.36</v>
      </c>
      <c r="F54" s="6">
        <v>18.39</v>
      </c>
      <c r="G54" s="6">
        <v>18.41</v>
      </c>
      <c r="H54" s="6">
        <f t="shared" si="1"/>
        <v>18.386666666666667</v>
      </c>
      <c r="I54" s="6">
        <f t="shared" si="2"/>
        <v>2.5166114784236238E-2</v>
      </c>
      <c r="J54" s="6" t="s">
        <v>9</v>
      </c>
      <c r="K54" s="6">
        <v>5.7437500000000004</v>
      </c>
      <c r="L54" s="6">
        <f t="shared" si="3"/>
        <v>5.7437500000000007E-6</v>
      </c>
      <c r="M54" s="6">
        <f>2.03^H54</f>
        <v>450637.31481489463</v>
      </c>
      <c r="N54" s="6">
        <f t="shared" si="4"/>
        <v>2.2190794395505474E-6</v>
      </c>
      <c r="O54" s="7">
        <f t="shared" si="5"/>
        <v>2219.0794395505472</v>
      </c>
      <c r="P54" s="6">
        <v>5.3429110272147966E-2</v>
      </c>
      <c r="Q54" s="6">
        <f t="shared" si="12"/>
        <v>7.2310169355171707</v>
      </c>
      <c r="R54" s="6">
        <f t="shared" si="7"/>
        <v>0.85919937868130414</v>
      </c>
      <c r="X54" s="6">
        <v>27</v>
      </c>
      <c r="Y54" s="6">
        <v>48</v>
      </c>
      <c r="Z54" s="6">
        <v>1</v>
      </c>
      <c r="AA54" s="6">
        <f>AVERAGE(O59:O61)</f>
        <v>383.90713179262275</v>
      </c>
    </row>
    <row r="55" spans="1:27" s="6" customFormat="1">
      <c r="A55" s="6" t="s">
        <v>83</v>
      </c>
      <c r="B55" s="6">
        <v>30</v>
      </c>
      <c r="C55" s="6">
        <v>24</v>
      </c>
      <c r="D55" s="6">
        <v>2</v>
      </c>
      <c r="E55" s="6">
        <v>19.170000000000002</v>
      </c>
      <c r="F55" s="6">
        <v>19.100000000000001</v>
      </c>
      <c r="G55" s="6">
        <v>19.12</v>
      </c>
      <c r="H55" s="6">
        <f t="shared" si="1"/>
        <v>19.13</v>
      </c>
      <c r="I55" s="6">
        <f t="shared" si="2"/>
        <v>3.6055512754640112E-2</v>
      </c>
      <c r="J55" s="6">
        <f>AVERAGE(25.54,25.67,25.5)</f>
        <v>25.570000000000004</v>
      </c>
      <c r="K55" s="6">
        <v>6.8125</v>
      </c>
      <c r="L55" s="6">
        <f t="shared" si="3"/>
        <v>6.8125000000000004E-6</v>
      </c>
      <c r="M55" s="6">
        <f t="shared" ref="M55:M74" si="13">2.03^H55</f>
        <v>762779.83824868803</v>
      </c>
      <c r="N55" s="6">
        <f t="shared" si="4"/>
        <v>1.3109942736503891E-6</v>
      </c>
      <c r="O55" s="7">
        <f t="shared" si="5"/>
        <v>1310.994273650389</v>
      </c>
      <c r="P55" s="6">
        <v>4.4888972659884063E-2</v>
      </c>
      <c r="Q55" s="6">
        <f t="shared" si="12"/>
        <v>4.2870111522818171</v>
      </c>
      <c r="R55" s="6">
        <f t="shared" si="7"/>
        <v>0.63215461329093448</v>
      </c>
      <c r="X55" s="6">
        <v>27</v>
      </c>
      <c r="Y55" s="6">
        <v>48</v>
      </c>
      <c r="Z55" s="6">
        <v>2</v>
      </c>
      <c r="AA55" s="6">
        <f>AVERAGE(O62:O64)</f>
        <v>409.71407079809654</v>
      </c>
    </row>
    <row r="56" spans="1:27" s="6" customFormat="1">
      <c r="A56" s="6" t="s">
        <v>214</v>
      </c>
      <c r="B56" s="6">
        <v>30</v>
      </c>
      <c r="C56" s="6">
        <v>24</v>
      </c>
      <c r="D56" s="6">
        <v>2</v>
      </c>
      <c r="E56" s="6">
        <v>19.88</v>
      </c>
      <c r="F56" s="6">
        <v>20.09</v>
      </c>
      <c r="G56" s="6">
        <v>20.059999999999999</v>
      </c>
      <c r="H56" s="6">
        <f t="shared" si="1"/>
        <v>20.010000000000002</v>
      </c>
      <c r="I56" s="6">
        <f t="shared" si="2"/>
        <v>0.11357816691600571</v>
      </c>
      <c r="J56" s="6">
        <f>AVERAGE(29.15,29.27,29.36)</f>
        <v>29.26</v>
      </c>
      <c r="K56" s="6">
        <v>6.7</v>
      </c>
      <c r="L56" s="6">
        <f t="shared" si="3"/>
        <v>6.7000000000000002E-6</v>
      </c>
      <c r="M56" s="6">
        <f t="shared" si="13"/>
        <v>1422314.7656074846</v>
      </c>
      <c r="N56" s="6">
        <f t="shared" si="4"/>
        <v>7.0307925093703867E-7</v>
      </c>
      <c r="O56" s="7">
        <f t="shared" si="5"/>
        <v>703.07925093703864</v>
      </c>
      <c r="P56" s="6">
        <v>2.0210259974672792E-2</v>
      </c>
      <c r="Q56" s="6">
        <f t="shared" si="12"/>
        <v>5.1922737146330444</v>
      </c>
      <c r="R56" s="6">
        <f t="shared" si="7"/>
        <v>0.71535757855761695</v>
      </c>
      <c r="X56" s="6">
        <v>27</v>
      </c>
      <c r="Y56" s="6">
        <v>48</v>
      </c>
      <c r="Z56" s="6">
        <v>3</v>
      </c>
      <c r="AA56" s="6">
        <f>AVERAGE(O65:O66)</f>
        <v>394.04479308335902</v>
      </c>
    </row>
    <row r="57" spans="1:27" s="6" customFormat="1">
      <c r="A57" s="6" t="s">
        <v>35</v>
      </c>
      <c r="B57" s="6">
        <v>30</v>
      </c>
      <c r="C57" s="6">
        <v>24</v>
      </c>
      <c r="D57" s="6">
        <v>3</v>
      </c>
      <c r="E57" s="12" t="s">
        <v>227</v>
      </c>
      <c r="F57" s="6">
        <v>21.44</v>
      </c>
      <c r="G57" s="6">
        <v>21.3</v>
      </c>
      <c r="H57" s="6">
        <f t="shared" si="1"/>
        <v>21.37</v>
      </c>
      <c r="I57" s="6">
        <f t="shared" si="2"/>
        <v>9.8994949366117052E-2</v>
      </c>
      <c r="J57" s="6" t="s">
        <v>129</v>
      </c>
      <c r="K57" s="6">
        <v>3.45</v>
      </c>
      <c r="L57" s="6">
        <f t="shared" si="3"/>
        <v>3.45E-6</v>
      </c>
      <c r="M57" s="6">
        <f t="shared" si="13"/>
        <v>3725549.4324285588</v>
      </c>
      <c r="N57" s="6">
        <f t="shared" si="4"/>
        <v>2.6841678472861763E-7</v>
      </c>
      <c r="O57" s="7">
        <f t="shared" si="5"/>
        <v>268.41678472861764</v>
      </c>
      <c r="P57" s="6">
        <v>1.2412962003493032E-2</v>
      </c>
      <c r="Q57" s="6">
        <f t="shared" si="12"/>
        <v>6.2678002692758978</v>
      </c>
      <c r="R57" s="6">
        <f t="shared" si="7"/>
        <v>0.79711514871975042</v>
      </c>
      <c r="X57" s="6">
        <v>30</v>
      </c>
      <c r="Y57" s="6">
        <v>48</v>
      </c>
      <c r="Z57" s="6">
        <v>1</v>
      </c>
      <c r="AA57" s="6">
        <f>AVERAGE(O67:O69)</f>
        <v>631.23255644826679</v>
      </c>
    </row>
    <row r="58" spans="1:27" s="6" customFormat="1">
      <c r="A58" s="6" t="s">
        <v>154</v>
      </c>
      <c r="B58" s="6">
        <v>30</v>
      </c>
      <c r="C58" s="6">
        <v>24</v>
      </c>
      <c r="D58" s="6">
        <v>3</v>
      </c>
      <c r="E58" s="6">
        <v>17.82</v>
      </c>
      <c r="F58" s="6">
        <v>17.809999999999999</v>
      </c>
      <c r="G58" s="6">
        <v>17.77</v>
      </c>
      <c r="H58" s="12">
        <f t="shared" si="1"/>
        <v>17.799999999999997</v>
      </c>
      <c r="I58" s="6">
        <f t="shared" si="2"/>
        <v>2.6457513110646015E-2</v>
      </c>
      <c r="J58" s="6">
        <f>AVERAGE(32.08)</f>
        <v>32.08</v>
      </c>
      <c r="K58" s="6">
        <v>1.5687500000000001</v>
      </c>
      <c r="L58" s="6">
        <f t="shared" si="3"/>
        <v>1.56875E-6</v>
      </c>
      <c r="M58" s="6">
        <f t="shared" si="13"/>
        <v>297460.61729236826</v>
      </c>
      <c r="N58" s="6">
        <f t="shared" si="4"/>
        <v>3.3617895676492847E-6</v>
      </c>
      <c r="O58" s="7">
        <f t="shared" si="5"/>
        <v>3361.7895676492849</v>
      </c>
      <c r="P58" s="6">
        <v>3.7464954098159052E-2</v>
      </c>
      <c r="Q58" s="6">
        <f t="shared" si="12"/>
        <v>57.199414256923767</v>
      </c>
      <c r="R58" s="6">
        <f t="shared" si="7"/>
        <v>1.7573915814802914</v>
      </c>
      <c r="X58" s="6">
        <v>30</v>
      </c>
      <c r="Y58" s="6">
        <v>48</v>
      </c>
      <c r="Z58" s="6">
        <v>2</v>
      </c>
      <c r="AA58" s="6">
        <f>AVERAGE(O70:O72)</f>
        <v>645.9109393388909</v>
      </c>
    </row>
    <row r="59" spans="1:27" s="7" customFormat="1">
      <c r="A59" s="7" t="s">
        <v>110</v>
      </c>
      <c r="B59" s="7">
        <v>27</v>
      </c>
      <c r="C59" s="7">
        <v>48</v>
      </c>
      <c r="D59" s="7">
        <v>1</v>
      </c>
      <c r="E59" s="7">
        <v>21.51</v>
      </c>
      <c r="F59" s="7">
        <v>21.66</v>
      </c>
      <c r="G59" s="7">
        <v>21.5</v>
      </c>
      <c r="H59" s="7">
        <f t="shared" si="1"/>
        <v>21.556666666666668</v>
      </c>
      <c r="I59" s="7">
        <f t="shared" si="2"/>
        <v>8.9628864398324681E-2</v>
      </c>
      <c r="J59" s="7">
        <f>J58-J56</f>
        <v>2.8199999999999967</v>
      </c>
      <c r="K59" s="7">
        <v>4.0187499999999998</v>
      </c>
      <c r="L59" s="7">
        <f t="shared" si="3"/>
        <v>4.0187499999999994E-6</v>
      </c>
      <c r="M59" s="7">
        <f t="shared" si="13"/>
        <v>4251964.1153273983</v>
      </c>
      <c r="N59" s="7">
        <f t="shared" si="4"/>
        <v>2.3518542792852348E-7</v>
      </c>
      <c r="O59" s="7">
        <f t="shared" si="5"/>
        <v>235.1854279285235</v>
      </c>
      <c r="P59" s="7">
        <v>2.1225411452029806E-2</v>
      </c>
      <c r="Q59" s="7">
        <f t="shared" si="12"/>
        <v>2.7571684570447981</v>
      </c>
      <c r="R59" s="7">
        <f t="shared" si="7"/>
        <v>0.44046330137236422</v>
      </c>
      <c r="X59" s="6">
        <v>30</v>
      </c>
      <c r="Y59" s="6">
        <v>48</v>
      </c>
      <c r="Z59" s="6">
        <v>3</v>
      </c>
      <c r="AA59" s="7">
        <f>AVERAGE(O73:O74)</f>
        <v>605.94237238890241</v>
      </c>
    </row>
    <row r="60" spans="1:27" s="7" customFormat="1">
      <c r="A60" s="7" t="s">
        <v>111</v>
      </c>
      <c r="B60" s="7">
        <v>27</v>
      </c>
      <c r="C60" s="7">
        <v>48</v>
      </c>
      <c r="D60" s="7">
        <v>1</v>
      </c>
      <c r="E60" s="7">
        <v>21.06</v>
      </c>
      <c r="F60" s="7">
        <v>21.1</v>
      </c>
      <c r="G60" s="10" t="s">
        <v>227</v>
      </c>
      <c r="H60" s="7">
        <f t="shared" si="1"/>
        <v>21.08</v>
      </c>
      <c r="I60" s="7">
        <f t="shared" si="2"/>
        <v>2.828427124746381E-2</v>
      </c>
      <c r="J60" s="7">
        <f>J56-J55</f>
        <v>3.6899999999999977</v>
      </c>
      <c r="K60" s="7">
        <v>7.7374999999999998</v>
      </c>
      <c r="L60" s="7">
        <f t="shared" si="3"/>
        <v>7.7375E-6</v>
      </c>
      <c r="M60" s="7">
        <f t="shared" si="13"/>
        <v>3034006.3067255984</v>
      </c>
      <c r="N60" s="7">
        <f t="shared" si="4"/>
        <v>3.2959720544524299E-7</v>
      </c>
      <c r="O60" s="7">
        <f t="shared" si="5"/>
        <v>329.59720544524299</v>
      </c>
      <c r="P60" s="7">
        <v>1.9188608763123657E-2</v>
      </c>
      <c r="Q60" s="7">
        <f t="shared" si="12"/>
        <v>2.2199304620343434</v>
      </c>
      <c r="R60" s="7">
        <f t="shared" si="7"/>
        <v>0.34633937065435033</v>
      </c>
    </row>
    <row r="61" spans="1:27" s="7" customFormat="1">
      <c r="A61" s="7" t="s">
        <v>112</v>
      </c>
      <c r="B61" s="7">
        <v>27</v>
      </c>
      <c r="C61" s="7">
        <v>48</v>
      </c>
      <c r="D61" s="7">
        <v>1</v>
      </c>
      <c r="E61" s="7">
        <v>20.29</v>
      </c>
      <c r="F61" s="7">
        <v>20.239999999999998</v>
      </c>
      <c r="G61" s="7" t="s">
        <v>3</v>
      </c>
      <c r="H61" s="7">
        <f t="shared" si="1"/>
        <v>20.265000000000001</v>
      </c>
      <c r="I61" s="7">
        <f t="shared" si="2"/>
        <v>3.5355339059327882E-2</v>
      </c>
      <c r="J61" s="7">
        <f>AVERAGE(J59:J60)</f>
        <v>3.2549999999999972</v>
      </c>
      <c r="K61" s="7">
        <v>8.3187499999999996</v>
      </c>
      <c r="L61" s="7">
        <f t="shared" si="3"/>
        <v>8.3187499999999989E-6</v>
      </c>
      <c r="M61" s="7">
        <f t="shared" si="13"/>
        <v>1703755.2547824597</v>
      </c>
      <c r="N61" s="7">
        <f t="shared" si="4"/>
        <v>5.8693876200410181E-7</v>
      </c>
      <c r="O61" s="7">
        <f t="shared" si="5"/>
        <v>586.93876200410182</v>
      </c>
      <c r="P61" s="7">
        <v>2.2865950121413115E-2</v>
      </c>
      <c r="Q61" s="7">
        <f t="shared" si="12"/>
        <v>3.0856415011844036</v>
      </c>
      <c r="R61" s="7">
        <f t="shared" si="7"/>
        <v>0.48934546706040016</v>
      </c>
    </row>
    <row r="62" spans="1:27" s="7" customFormat="1">
      <c r="A62" s="7" t="s">
        <v>113</v>
      </c>
      <c r="B62" s="7">
        <v>27</v>
      </c>
      <c r="C62" s="7">
        <v>48</v>
      </c>
      <c r="D62" s="7">
        <v>2</v>
      </c>
      <c r="E62" s="7">
        <v>21.26</v>
      </c>
      <c r="F62" s="7">
        <v>21.33</v>
      </c>
      <c r="G62" s="7">
        <v>21.29</v>
      </c>
      <c r="H62" s="7">
        <f t="shared" si="1"/>
        <v>21.293333333333333</v>
      </c>
      <c r="I62" s="7">
        <f t="shared" si="2"/>
        <v>3.5118845842840869E-2</v>
      </c>
      <c r="J62" s="7" t="s">
        <v>269</v>
      </c>
      <c r="K62" s="7">
        <v>5.95</v>
      </c>
      <c r="L62" s="7">
        <f t="shared" si="3"/>
        <v>5.9499999999999998E-6</v>
      </c>
      <c r="M62" s="7">
        <f t="shared" si="13"/>
        <v>3528707.2842935044</v>
      </c>
      <c r="N62" s="7">
        <f t="shared" si="4"/>
        <v>2.8338989874594083E-7</v>
      </c>
      <c r="O62" s="7">
        <f t="shared" si="5"/>
        <v>283.38989874594085</v>
      </c>
      <c r="P62" s="7">
        <v>1.9926796684621936E-2</v>
      </c>
      <c r="Q62" s="7">
        <f t="shared" si="12"/>
        <v>2.3901761615221768</v>
      </c>
      <c r="R62" s="7">
        <f t="shared" si="7"/>
        <v>0.37842991063751086</v>
      </c>
    </row>
    <row r="63" spans="1:27" s="7" customFormat="1">
      <c r="A63" s="7" t="s">
        <v>125</v>
      </c>
      <c r="B63" s="7">
        <v>27</v>
      </c>
      <c r="C63" s="7">
        <v>48</v>
      </c>
      <c r="D63" s="7">
        <v>2</v>
      </c>
      <c r="E63" s="7">
        <v>20.010000000000002</v>
      </c>
      <c r="F63" s="7">
        <v>20.100000000000001</v>
      </c>
      <c r="G63" s="7">
        <v>20.190000000000001</v>
      </c>
      <c r="H63" s="7">
        <f t="shared" ref="H63:H74" si="14">AVERAGE(E63:G63)</f>
        <v>20.099999999999998</v>
      </c>
      <c r="I63" s="7">
        <f t="shared" ref="I63:I74" si="15">STDEV(E63:G63)</f>
        <v>8.9999999999999858E-2</v>
      </c>
      <c r="J63" s="7">
        <v>2.0299999999999998</v>
      </c>
      <c r="K63" s="7">
        <v>3.109375</v>
      </c>
      <c r="L63" s="7">
        <f t="shared" si="3"/>
        <v>3.1093750000000002E-6</v>
      </c>
      <c r="M63" s="7">
        <f t="shared" si="13"/>
        <v>1515899.333657766</v>
      </c>
      <c r="N63" s="7">
        <f t="shared" ref="N63:N74" si="16">M63^-1</f>
        <v>6.5967441095647515E-7</v>
      </c>
      <c r="O63" s="7">
        <f t="shared" si="5"/>
        <v>659.67441095647519</v>
      </c>
      <c r="P63" s="7">
        <v>4.5406829754814616E-2</v>
      </c>
      <c r="Q63" s="7">
        <f t="shared" si="12"/>
        <v>4.6723498562673553</v>
      </c>
      <c r="R63" s="7">
        <f t="shared" si="7"/>
        <v>0.6695353544291982</v>
      </c>
    </row>
    <row r="64" spans="1:27" s="7" customFormat="1">
      <c r="A64" s="7" t="s">
        <v>126</v>
      </c>
      <c r="B64" s="7">
        <v>27</v>
      </c>
      <c r="C64" s="7">
        <v>48</v>
      </c>
      <c r="D64" s="7">
        <v>2</v>
      </c>
      <c r="E64" s="7">
        <v>21.17</v>
      </c>
      <c r="F64" s="7">
        <v>21.39</v>
      </c>
      <c r="G64" s="10">
        <v>22.17</v>
      </c>
      <c r="H64" s="7">
        <f>AVERAGE(E64:F64)</f>
        <v>21.28</v>
      </c>
      <c r="I64" s="10">
        <f>STDEV(E64:F64)</f>
        <v>0.15556349186103965</v>
      </c>
      <c r="J64" s="7" t="s">
        <v>36</v>
      </c>
      <c r="K64" s="7">
        <v>3.5249999999999999</v>
      </c>
      <c r="L64" s="7">
        <f t="shared" si="3"/>
        <v>3.5249999999999997E-6</v>
      </c>
      <c r="M64" s="7">
        <f t="shared" si="13"/>
        <v>3495551.3536362574</v>
      </c>
      <c r="N64" s="7">
        <f t="shared" si="16"/>
        <v>2.860779026918735E-7</v>
      </c>
      <c r="O64" s="7">
        <f t="shared" si="5"/>
        <v>286.07790269187348</v>
      </c>
      <c r="P64" s="7">
        <v>2.4535282998475509E-2</v>
      </c>
      <c r="Q64" s="7">
        <f t="shared" si="12"/>
        <v>3.3077609837442878</v>
      </c>
      <c r="R64" s="7">
        <f t="shared" si="7"/>
        <v>0.51953412023019807</v>
      </c>
    </row>
    <row r="65" spans="1:18" s="7" customFormat="1">
      <c r="A65" s="7" t="s">
        <v>127</v>
      </c>
      <c r="B65" s="7">
        <v>27</v>
      </c>
      <c r="C65" s="7">
        <v>48</v>
      </c>
      <c r="D65" s="7">
        <v>3</v>
      </c>
      <c r="E65" s="7">
        <v>21.31</v>
      </c>
      <c r="F65" s="7">
        <v>21.39</v>
      </c>
      <c r="G65" s="7">
        <v>21.51</v>
      </c>
      <c r="H65" s="7">
        <f t="shared" si="14"/>
        <v>21.403333333333336</v>
      </c>
      <c r="I65" s="7">
        <f t="shared" si="15"/>
        <v>0.10066445913694472</v>
      </c>
      <c r="K65" s="7">
        <v>4.2249999999999996</v>
      </c>
      <c r="L65" s="7">
        <f t="shared" ref="L65:L74" si="17">K65/(10^6)</f>
        <v>4.2249999999999994E-6</v>
      </c>
      <c r="M65" s="7">
        <f t="shared" si="13"/>
        <v>3814522.6511284201</v>
      </c>
      <c r="N65" s="7">
        <f t="shared" si="16"/>
        <v>2.6215599996612367E-7</v>
      </c>
      <c r="O65" s="7">
        <f t="shared" si="5"/>
        <v>262.15599996612366</v>
      </c>
      <c r="P65" s="7">
        <v>2.8340011388099877E-2</v>
      </c>
      <c r="Q65" s="7">
        <f t="shared" si="12"/>
        <v>2.1894401007363831</v>
      </c>
      <c r="R65" s="7">
        <f t="shared" si="7"/>
        <v>0.34033306815088771</v>
      </c>
    </row>
    <row r="66" spans="1:18" s="7" customFormat="1">
      <c r="A66" s="7" t="s">
        <v>189</v>
      </c>
      <c r="B66" s="7">
        <v>27</v>
      </c>
      <c r="C66" s="7">
        <v>48</v>
      </c>
      <c r="D66" s="7">
        <v>3</v>
      </c>
      <c r="E66" s="7">
        <v>20.36</v>
      </c>
      <c r="F66" s="7">
        <v>20.39</v>
      </c>
      <c r="G66" s="7">
        <v>20.51</v>
      </c>
      <c r="H66" s="7">
        <f t="shared" si="14"/>
        <v>20.420000000000002</v>
      </c>
      <c r="I66" s="7">
        <f t="shared" si="15"/>
        <v>7.9372539331938718E-2</v>
      </c>
      <c r="K66" s="7">
        <v>4.2874999999999996</v>
      </c>
      <c r="L66" s="7">
        <f t="shared" si="17"/>
        <v>4.2875E-6</v>
      </c>
      <c r="M66" s="7">
        <f t="shared" si="13"/>
        <v>1901380.7565021976</v>
      </c>
      <c r="N66" s="7">
        <f t="shared" si="16"/>
        <v>5.2593358620059443E-7</v>
      </c>
      <c r="O66" s="7">
        <f t="shared" si="5"/>
        <v>525.93358620059439</v>
      </c>
      <c r="P66" s="7">
        <v>2.0981003725238503E-2</v>
      </c>
      <c r="Q66" s="7">
        <f t="shared" ref="Q66:Q74" si="18">N66/L66/P66</f>
        <v>5.8465613585919654</v>
      </c>
      <c r="R66" s="7">
        <f t="shared" si="7"/>
        <v>0.76690051188260111</v>
      </c>
    </row>
    <row r="67" spans="1:18" s="6" customFormat="1">
      <c r="A67" s="6" t="s">
        <v>190</v>
      </c>
      <c r="B67" s="6">
        <v>30</v>
      </c>
      <c r="C67" s="6">
        <v>48</v>
      </c>
      <c r="D67" s="6">
        <v>1</v>
      </c>
      <c r="E67" s="6">
        <v>20.440000000000001</v>
      </c>
      <c r="F67" s="6">
        <v>20.6</v>
      </c>
      <c r="G67" s="12" t="s">
        <v>86</v>
      </c>
      <c r="H67" s="6">
        <f t="shared" si="14"/>
        <v>20.520000000000003</v>
      </c>
      <c r="I67" s="6">
        <f t="shared" si="15"/>
        <v>0.1131370849898477</v>
      </c>
      <c r="K67" s="6">
        <v>4.1124999999999998</v>
      </c>
      <c r="L67" s="6">
        <f t="shared" si="17"/>
        <v>4.1125E-6</v>
      </c>
      <c r="M67" s="6">
        <f t="shared" si="13"/>
        <v>2040885.7718347933</v>
      </c>
      <c r="N67" s="6">
        <f t="shared" si="16"/>
        <v>4.8998332674982686E-7</v>
      </c>
      <c r="O67" s="7">
        <f t="shared" ref="O67:O74" si="19">N67*(10^9)</f>
        <v>489.98332674982686</v>
      </c>
      <c r="P67" s="6">
        <v>2.7868622988811868E-2</v>
      </c>
      <c r="Q67" s="6">
        <f t="shared" si="18"/>
        <v>4.2752339048932653</v>
      </c>
      <c r="R67" s="6">
        <f t="shared" ref="R67:R74" si="20">LOG(Q67)</f>
        <v>0.63095988066079578</v>
      </c>
    </row>
    <row r="68" spans="1:18" s="6" customFormat="1">
      <c r="A68" s="6" t="s">
        <v>191</v>
      </c>
      <c r="B68" s="6">
        <v>30</v>
      </c>
      <c r="C68" s="6">
        <v>48</v>
      </c>
      <c r="D68" s="6">
        <v>1</v>
      </c>
      <c r="E68" s="6">
        <v>20.329999999999998</v>
      </c>
      <c r="F68" s="6">
        <v>20.51</v>
      </c>
      <c r="G68" s="6">
        <v>20.47</v>
      </c>
      <c r="H68" s="6">
        <f t="shared" si="14"/>
        <v>20.436666666666667</v>
      </c>
      <c r="I68" s="6">
        <f t="shared" si="15"/>
        <v>9.4516312525053534E-2</v>
      </c>
      <c r="K68" s="6">
        <v>7.125</v>
      </c>
      <c r="L68" s="6">
        <f t="shared" si="17"/>
        <v>7.1250000000000004E-6</v>
      </c>
      <c r="M68" s="6">
        <f t="shared" si="13"/>
        <v>1923951.0935027765</v>
      </c>
      <c r="N68" s="6">
        <f t="shared" si="16"/>
        <v>5.197637317169969E-7</v>
      </c>
      <c r="O68" s="7">
        <f t="shared" si="19"/>
        <v>519.76373171699686</v>
      </c>
      <c r="P68" s="6">
        <v>1.9031005235142263E-2</v>
      </c>
      <c r="Q68" s="6">
        <f t="shared" si="18"/>
        <v>3.8331814204365742</v>
      </c>
      <c r="R68" s="6">
        <f t="shared" si="20"/>
        <v>0.58355937444087913</v>
      </c>
    </row>
    <row r="69" spans="1:18" s="6" customFormat="1">
      <c r="A69" s="6" t="s">
        <v>192</v>
      </c>
      <c r="B69" s="6">
        <v>30</v>
      </c>
      <c r="C69" s="6">
        <v>48</v>
      </c>
      <c r="D69" s="6">
        <v>1</v>
      </c>
      <c r="E69" s="6">
        <v>19.600000000000001</v>
      </c>
      <c r="F69" s="6">
        <v>19.71</v>
      </c>
      <c r="G69" s="6">
        <v>19.75</v>
      </c>
      <c r="H69" s="6">
        <f t="shared" si="14"/>
        <v>19.686666666666667</v>
      </c>
      <c r="I69" s="6">
        <f t="shared" si="15"/>
        <v>7.7674534651539617E-2</v>
      </c>
      <c r="K69" s="6">
        <v>5.4874999999999998</v>
      </c>
      <c r="L69" s="6">
        <f t="shared" si="17"/>
        <v>5.4874999999999996E-6</v>
      </c>
      <c r="M69" s="6">
        <f t="shared" si="13"/>
        <v>1131284.9243995184</v>
      </c>
      <c r="N69" s="6">
        <f t="shared" si="16"/>
        <v>8.8395061087797666E-7</v>
      </c>
      <c r="O69" s="7">
        <f t="shared" si="19"/>
        <v>883.95061087797671</v>
      </c>
      <c r="P69" s="6">
        <v>2.5183159925224703E-2</v>
      </c>
      <c r="Q69" s="6">
        <f t="shared" si="18"/>
        <v>6.3965123622359057</v>
      </c>
      <c r="R69" s="6">
        <f t="shared" si="20"/>
        <v>0.80594324356383973</v>
      </c>
    </row>
    <row r="70" spans="1:18" s="6" customFormat="1">
      <c r="A70" s="6" t="s">
        <v>193</v>
      </c>
      <c r="B70" s="6">
        <v>30</v>
      </c>
      <c r="C70" s="6">
        <v>48</v>
      </c>
      <c r="D70" s="6">
        <v>2</v>
      </c>
      <c r="E70" s="6">
        <v>20.11</v>
      </c>
      <c r="F70" s="6">
        <v>20.09</v>
      </c>
      <c r="G70" s="6">
        <v>20.14</v>
      </c>
      <c r="H70" s="6">
        <f t="shared" si="14"/>
        <v>20.113333333333333</v>
      </c>
      <c r="I70" s="6">
        <f t="shared" si="15"/>
        <v>2.5166114784236238E-2</v>
      </c>
      <c r="K70" s="6">
        <v>10.725</v>
      </c>
      <c r="L70" s="6">
        <f t="shared" si="17"/>
        <v>1.0725E-5</v>
      </c>
      <c r="M70" s="6">
        <f t="shared" si="13"/>
        <v>1530277.910341484</v>
      </c>
      <c r="N70" s="6">
        <f t="shared" si="16"/>
        <v>6.5347607336032728E-7</v>
      </c>
      <c r="O70" s="7">
        <f t="shared" si="19"/>
        <v>653.47607336032729</v>
      </c>
      <c r="P70" s="6">
        <v>2.586451313571236E-2</v>
      </c>
      <c r="Q70" s="6">
        <f t="shared" si="18"/>
        <v>2.3557439372851658</v>
      </c>
      <c r="R70" s="6">
        <f t="shared" si="20"/>
        <v>0.37212808209648268</v>
      </c>
    </row>
    <row r="71" spans="1:18" s="6" customFormat="1">
      <c r="A71" s="6" t="s">
        <v>194</v>
      </c>
      <c r="B71" s="6">
        <v>30</v>
      </c>
      <c r="C71" s="6">
        <v>48</v>
      </c>
      <c r="D71" s="6">
        <v>2</v>
      </c>
      <c r="E71" s="6">
        <v>19.29</v>
      </c>
      <c r="F71" s="6">
        <v>19.41</v>
      </c>
      <c r="G71" s="12" t="s">
        <v>86</v>
      </c>
      <c r="H71" s="6">
        <f t="shared" si="14"/>
        <v>19.350000000000001</v>
      </c>
      <c r="I71" s="6">
        <f t="shared" si="15"/>
        <v>8.4852813742386402E-2</v>
      </c>
      <c r="K71" s="6">
        <v>7.6812500000000004</v>
      </c>
      <c r="L71" s="6">
        <f t="shared" si="17"/>
        <v>7.6812500000000004E-6</v>
      </c>
      <c r="M71" s="6">
        <f t="shared" si="13"/>
        <v>891350.13299746031</v>
      </c>
      <c r="N71" s="6">
        <f t="shared" si="16"/>
        <v>1.1218935892646007E-6</v>
      </c>
      <c r="O71" s="7">
        <f t="shared" si="19"/>
        <v>1121.8935892646007</v>
      </c>
      <c r="P71" s="6">
        <v>3.0215036203304853E-2</v>
      </c>
      <c r="Q71" s="6">
        <f t="shared" si="18"/>
        <v>4.8338887068485636</v>
      </c>
      <c r="R71" s="6">
        <f t="shared" si="20"/>
        <v>0.68429664719741812</v>
      </c>
    </row>
    <row r="72" spans="1:18" s="6" customFormat="1">
      <c r="A72" s="6" t="s">
        <v>161</v>
      </c>
      <c r="B72" s="6">
        <v>30</v>
      </c>
      <c r="C72" s="6">
        <v>48</v>
      </c>
      <c r="D72" s="6">
        <v>2</v>
      </c>
      <c r="E72" s="6">
        <v>22.03</v>
      </c>
      <c r="F72" s="6">
        <v>22.07</v>
      </c>
      <c r="G72" s="6">
        <v>22.14</v>
      </c>
      <c r="H72" s="6">
        <f t="shared" si="14"/>
        <v>22.080000000000002</v>
      </c>
      <c r="I72" s="6">
        <f t="shared" si="15"/>
        <v>5.5677643628299987E-2</v>
      </c>
      <c r="K72" s="6">
        <v>12.3</v>
      </c>
      <c r="L72" s="6">
        <f t="shared" si="17"/>
        <v>1.2300000000000001E-5</v>
      </c>
      <c r="M72" s="6">
        <f t="shared" si="13"/>
        <v>6159032.8026529886</v>
      </c>
      <c r="N72" s="6">
        <f t="shared" si="16"/>
        <v>1.6236315539174468E-7</v>
      </c>
      <c r="O72" s="7">
        <f t="shared" si="19"/>
        <v>162.36315539174467</v>
      </c>
      <c r="P72" s="6">
        <v>7.4430048609829252E-3</v>
      </c>
      <c r="Q72" s="6">
        <f t="shared" si="18"/>
        <v>1.7735117445793218</v>
      </c>
      <c r="R72" s="6">
        <f t="shared" si="20"/>
        <v>0.24883406880971123</v>
      </c>
    </row>
    <row r="73" spans="1:18" s="6" customFormat="1">
      <c r="A73" s="6" t="s">
        <v>163</v>
      </c>
      <c r="B73" s="6">
        <v>30</v>
      </c>
      <c r="C73" s="6">
        <v>48</v>
      </c>
      <c r="D73" s="6">
        <v>3</v>
      </c>
      <c r="E73" s="6">
        <v>20.14</v>
      </c>
      <c r="F73" s="6">
        <v>20.27</v>
      </c>
      <c r="G73" s="6">
        <v>20.239999999999998</v>
      </c>
      <c r="H73" s="6">
        <f t="shared" si="14"/>
        <v>20.216666666666665</v>
      </c>
      <c r="I73" s="6">
        <f t="shared" si="15"/>
        <v>6.8068592855539692E-2</v>
      </c>
      <c r="K73" s="6">
        <v>5.7249999999999996</v>
      </c>
      <c r="L73" s="6">
        <f t="shared" si="17"/>
        <v>5.7249999999999994E-6</v>
      </c>
      <c r="M73" s="6">
        <f t="shared" si="13"/>
        <v>1646436.1753840882</v>
      </c>
      <c r="N73" s="6">
        <f t="shared" si="16"/>
        <v>6.0737246602754908E-7</v>
      </c>
      <c r="O73" s="7">
        <f t="shared" si="19"/>
        <v>607.37246602754908</v>
      </c>
      <c r="P73" s="6">
        <v>4.3381092199296444E-2</v>
      </c>
      <c r="Q73" s="6">
        <f t="shared" si="18"/>
        <v>2.4455645319878294</v>
      </c>
      <c r="R73" s="6">
        <f t="shared" si="20"/>
        <v>0.38837912719265288</v>
      </c>
    </row>
    <row r="74" spans="1:18" s="6" customFormat="1">
      <c r="A74" s="6" t="s">
        <v>65</v>
      </c>
      <c r="B74" s="6">
        <v>30</v>
      </c>
      <c r="C74" s="6">
        <v>48</v>
      </c>
      <c r="D74" s="6">
        <v>3</v>
      </c>
      <c r="E74" s="6">
        <v>20.18</v>
      </c>
      <c r="F74" s="6">
        <v>20.25</v>
      </c>
      <c r="G74" s="6">
        <v>20.239999999999998</v>
      </c>
      <c r="H74" s="6">
        <f t="shared" si="14"/>
        <v>20.223333333333333</v>
      </c>
      <c r="I74" s="6">
        <f t="shared" si="15"/>
        <v>3.7859388972001647E-2</v>
      </c>
      <c r="K74" s="6">
        <v>5.59375</v>
      </c>
      <c r="L74" s="6">
        <f t="shared" si="17"/>
        <v>5.5937499999999996E-6</v>
      </c>
      <c r="M74" s="6">
        <f t="shared" si="13"/>
        <v>1654226.117734713</v>
      </c>
      <c r="N74" s="6">
        <f t="shared" si="16"/>
        <v>6.0451227875025558E-7</v>
      </c>
      <c r="O74" s="7">
        <f t="shared" si="19"/>
        <v>604.51227875025563</v>
      </c>
      <c r="P74" s="6">
        <v>4.2475982542007837E-2</v>
      </c>
      <c r="Q74" s="6">
        <f t="shared" si="18"/>
        <v>2.5442433046277779</v>
      </c>
      <c r="R74" s="6">
        <f t="shared" si="20"/>
        <v>0.4055586403115648</v>
      </c>
    </row>
    <row r="75" spans="1:18">
      <c r="G75" t="s">
        <v>257</v>
      </c>
      <c r="H75">
        <f>AVERAGE(H2:H74)</f>
        <v>20.002762557077627</v>
      </c>
      <c r="I75">
        <f>AVERAGE(I2:I74)</f>
        <v>8.552815572950552E-2</v>
      </c>
      <c r="J75" t="s">
        <v>257</v>
      </c>
      <c r="K75">
        <f>AVERAGE(K2:K74)</f>
        <v>6.4827910958904136</v>
      </c>
      <c r="M75">
        <f>AVERAGE(M2:M74)</f>
        <v>1098611.0740607679</v>
      </c>
    </row>
    <row r="76" spans="1:18">
      <c r="G76" t="s">
        <v>135</v>
      </c>
      <c r="H76" s="6">
        <f>STDEV(H2:H74)</f>
        <v>1.2833132880582789</v>
      </c>
      <c r="J76" t="s">
        <v>135</v>
      </c>
      <c r="K76">
        <f>STDEV(K2:K74)</f>
        <v>2.7478115366431468</v>
      </c>
      <c r="M76">
        <f>STDEV(M2:M74)</f>
        <v>1193343.4520192801</v>
      </c>
    </row>
    <row r="77" spans="1:18">
      <c r="G77" t="s">
        <v>136</v>
      </c>
      <c r="H77">
        <f>MIN(H2:H74)</f>
        <v>17.223333333333333</v>
      </c>
      <c r="J77" t="s">
        <v>38</v>
      </c>
      <c r="K77">
        <f>K76/K75*100</f>
        <v>42.38624222188875</v>
      </c>
      <c r="M77">
        <f>M76/M75*100</f>
        <v>108.62292217830604</v>
      </c>
    </row>
    <row r="78" spans="1:18" hidden="1"/>
    <row r="79" spans="1:18">
      <c r="H79">
        <f>MAX(H2:H74)</f>
        <v>23.623333333333335</v>
      </c>
    </row>
  </sheetData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0"/>
  <sheetViews>
    <sheetView workbookViewId="0">
      <selection activeCell="N24" sqref="N24"/>
    </sheetView>
  </sheetViews>
  <sheetFormatPr baseColWidth="10" defaultRowHeight="13" x14ac:dyDescent="0"/>
  <cols>
    <col min="1" max="1" width="7.85546875" customWidth="1"/>
    <col min="2" max="2" width="4.5703125" customWidth="1"/>
    <col min="3" max="3" width="8" customWidth="1"/>
    <col min="4" max="4" width="4.140625" customWidth="1"/>
    <col min="5" max="5" width="9.140625" customWidth="1"/>
    <col min="6" max="6" width="9" customWidth="1"/>
    <col min="7" max="7" width="6.5703125" customWidth="1"/>
    <col min="8" max="8" width="6.140625" customWidth="1"/>
    <col min="9" max="9" width="5.7109375" customWidth="1"/>
    <col min="10" max="10" width="13.42578125" customWidth="1"/>
    <col min="11" max="11" width="8" customWidth="1"/>
    <col min="12" max="12" width="5.7109375" customWidth="1"/>
    <col min="13" max="14" width="7.5703125" customWidth="1"/>
    <col min="15" max="15" width="11.28515625" customWidth="1"/>
    <col min="16" max="16" width="10.5703125" customWidth="1"/>
    <col min="17" max="17" width="13.140625" bestFit="1" customWidth="1"/>
    <col min="18" max="18" width="5.7109375" customWidth="1"/>
    <col min="30" max="30" width="15.7109375" bestFit="1" customWidth="1"/>
  </cols>
  <sheetData>
    <row r="1" spans="1:54" ht="12" customHeight="1">
      <c r="A1" s="23" t="s">
        <v>0</v>
      </c>
      <c r="B1" s="23" t="s">
        <v>152</v>
      </c>
      <c r="C1" s="23" t="s">
        <v>247</v>
      </c>
      <c r="D1" s="23" t="s">
        <v>289</v>
      </c>
      <c r="E1" s="23" t="s">
        <v>99</v>
      </c>
      <c r="F1" s="23" t="s">
        <v>100</v>
      </c>
      <c r="G1" s="23" t="s">
        <v>101</v>
      </c>
      <c r="H1" s="23" t="s">
        <v>102</v>
      </c>
      <c r="I1" s="23" t="s">
        <v>103</v>
      </c>
      <c r="J1" s="23" t="s">
        <v>157</v>
      </c>
      <c r="K1" s="23" t="s">
        <v>158</v>
      </c>
      <c r="L1" s="23" t="s">
        <v>37</v>
      </c>
      <c r="M1" s="23" t="s">
        <v>39</v>
      </c>
      <c r="N1" s="23" t="s">
        <v>1094</v>
      </c>
      <c r="O1" s="23" t="s">
        <v>420</v>
      </c>
      <c r="P1" s="23" t="s">
        <v>414</v>
      </c>
      <c r="Q1" t="s">
        <v>410</v>
      </c>
      <c r="R1" t="s">
        <v>421</v>
      </c>
      <c r="S1" t="s">
        <v>436</v>
      </c>
      <c r="T1" t="s">
        <v>437</v>
      </c>
      <c r="U1" t="s">
        <v>438</v>
      </c>
      <c r="V1" t="s">
        <v>439</v>
      </c>
      <c r="W1" s="7" t="s">
        <v>290</v>
      </c>
      <c r="X1" s="7"/>
      <c r="Y1" s="7"/>
      <c r="Z1" s="7"/>
      <c r="AA1" s="7"/>
      <c r="AB1" s="7"/>
    </row>
    <row r="2" spans="1:54" s="7" customFormat="1">
      <c r="A2" s="7" t="s">
        <v>266</v>
      </c>
      <c r="B2" s="7">
        <v>27</v>
      </c>
      <c r="C2" s="7">
        <v>0</v>
      </c>
      <c r="D2" s="7">
        <v>1</v>
      </c>
      <c r="E2" s="7">
        <v>16.95</v>
      </c>
      <c r="F2" s="7">
        <v>17.09</v>
      </c>
      <c r="G2" s="7">
        <v>17.13</v>
      </c>
      <c r="H2" s="7">
        <f>AVERAGE(E2:G2)</f>
        <v>17.056666666666668</v>
      </c>
      <c r="I2" s="7">
        <f>STDEV(E2:G2)</f>
        <v>9.451631252505216E-2</v>
      </c>
      <c r="J2" s="7" t="s">
        <v>87</v>
      </c>
      <c r="K2" s="7">
        <v>1.75</v>
      </c>
      <c r="L2" s="7">
        <f>K2^H2</f>
        <v>13977.161515422034</v>
      </c>
      <c r="M2" s="7">
        <f>L2^-1</f>
        <v>7.1545284705812847E-5</v>
      </c>
      <c r="N2" s="7">
        <f>M2*(10^9)</f>
        <v>71545.284705812854</v>
      </c>
      <c r="O2" s="7">
        <v>6.6875</v>
      </c>
      <c r="P2" s="7">
        <f>O2/(10^6)</f>
        <v>6.6874999999999999E-6</v>
      </c>
      <c r="Q2" s="7">
        <v>0.98414622396933837</v>
      </c>
      <c r="R2" s="7">
        <f>M2/P2/Q2</f>
        <v>10.870702004720071</v>
      </c>
      <c r="S2" s="7">
        <f>LOG(R2)</f>
        <v>1.0362575907221609</v>
      </c>
      <c r="T2" s="7">
        <v>1.6629536202753861</v>
      </c>
      <c r="U2" s="7">
        <v>1.0362575907221609</v>
      </c>
      <c r="V2" s="7">
        <v>1.6629536202753861</v>
      </c>
      <c r="W2" s="6" t="s">
        <v>416</v>
      </c>
      <c r="X2" s="6"/>
      <c r="Y2" s="6" t="s">
        <v>423</v>
      </c>
      <c r="Z2" s="6"/>
      <c r="AA2" s="6"/>
      <c r="AB2" s="6"/>
      <c r="AP2" s="7">
        <v>27</v>
      </c>
      <c r="AQ2" s="7">
        <v>0</v>
      </c>
      <c r="AR2" s="7">
        <v>1</v>
      </c>
      <c r="AS2" s="7">
        <v>46.020742390000002</v>
      </c>
    </row>
    <row r="3" spans="1:54" s="7" customFormat="1">
      <c r="A3" s="7" t="s">
        <v>267</v>
      </c>
      <c r="B3" s="7">
        <v>27</v>
      </c>
      <c r="C3" s="7">
        <v>0</v>
      </c>
      <c r="D3" s="7">
        <v>2</v>
      </c>
      <c r="E3" s="7">
        <v>16.66</v>
      </c>
      <c r="F3" s="7">
        <v>16.84</v>
      </c>
      <c r="G3" s="7">
        <v>16.3</v>
      </c>
      <c r="H3" s="7">
        <f t="shared" ref="H3:H60" si="0">AVERAGE(E3:G3)</f>
        <v>16.599999999999998</v>
      </c>
      <c r="I3" s="7">
        <f t="shared" ref="I3:I60" si="1">STDEV(E3:G3)</f>
        <v>0.27495454169734995</v>
      </c>
      <c r="J3" s="7" t="s">
        <v>88</v>
      </c>
      <c r="K3" s="7">
        <v>1.75</v>
      </c>
      <c r="L3" s="7">
        <f t="shared" ref="L3:L61" si="2">K3^H3</f>
        <v>10825.092303624075</v>
      </c>
      <c r="M3" s="7">
        <f t="shared" ref="M3:M61" si="3">L3^-1</f>
        <v>9.2377965189748573E-5</v>
      </c>
      <c r="N3" s="7">
        <f t="shared" ref="N3:N66" si="4">M3*(10^9)</f>
        <v>92377.965189748575</v>
      </c>
      <c r="O3" s="7">
        <v>5.2062499999999998</v>
      </c>
      <c r="P3" s="7">
        <f t="shared" ref="P3:P63" si="5">O3/(10^6)</f>
        <v>5.2062499999999995E-6</v>
      </c>
      <c r="Q3" s="7">
        <v>0.96932483163924932</v>
      </c>
      <c r="R3" s="7">
        <f>M3/P3/Q3</f>
        <v>18.305181301440744</v>
      </c>
      <c r="S3" s="7">
        <f t="shared" ref="S3:S66" si="6">LOG(R3)</f>
        <v>1.2625740346557006</v>
      </c>
      <c r="T3" s="7">
        <v>1.6945679501104158</v>
      </c>
      <c r="U3" s="7">
        <v>1.2625740346557006</v>
      </c>
      <c r="V3" s="7">
        <v>1.6945679501104158</v>
      </c>
      <c r="W3" s="6" t="s">
        <v>291</v>
      </c>
      <c r="X3" s="6" t="s">
        <v>292</v>
      </c>
      <c r="Y3" s="6" t="s">
        <v>417</v>
      </c>
      <c r="Z3" s="6" t="s">
        <v>293</v>
      </c>
      <c r="AA3" s="6" t="s">
        <v>418</v>
      </c>
      <c r="AB3" s="6" t="s">
        <v>419</v>
      </c>
      <c r="AP3" s="7">
        <v>27</v>
      </c>
      <c r="AQ3" s="7">
        <v>0</v>
      </c>
      <c r="AR3" s="7">
        <v>2</v>
      </c>
      <c r="AS3" s="7">
        <v>49.495754640000001</v>
      </c>
    </row>
    <row r="4" spans="1:54" s="6" customFormat="1">
      <c r="A4" s="6" t="s">
        <v>219</v>
      </c>
      <c r="B4" s="6">
        <v>30</v>
      </c>
      <c r="C4" s="6">
        <v>0</v>
      </c>
      <c r="D4" s="6">
        <v>2</v>
      </c>
      <c r="E4" s="6">
        <v>17.66</v>
      </c>
      <c r="F4" s="6">
        <v>17.760000000000002</v>
      </c>
      <c r="G4" s="6">
        <v>17.52</v>
      </c>
      <c r="H4" s="6">
        <f t="shared" si="0"/>
        <v>17.646666666666665</v>
      </c>
      <c r="I4" s="6">
        <f t="shared" si="1"/>
        <v>0.12055427546683513</v>
      </c>
      <c r="J4" s="6" t="s">
        <v>89</v>
      </c>
      <c r="K4" s="6">
        <v>1.75</v>
      </c>
      <c r="L4" s="6">
        <f t="shared" si="2"/>
        <v>19445.156037234225</v>
      </c>
      <c r="M4" s="6">
        <f t="shared" si="3"/>
        <v>5.1426689407128802E-5</v>
      </c>
      <c r="N4" s="7">
        <f t="shared" si="4"/>
        <v>51426.689407128804</v>
      </c>
      <c r="O4" s="6">
        <v>4.4000000000000004</v>
      </c>
      <c r="P4" s="6">
        <f t="shared" si="5"/>
        <v>4.4000000000000002E-6</v>
      </c>
      <c r="Q4" s="6">
        <v>0.98804672361660184</v>
      </c>
      <c r="R4" s="6">
        <f t="shared" ref="R4:R33" si="7">M4/P4/Q4</f>
        <v>11.829282640990733</v>
      </c>
      <c r="S4" s="6">
        <f t="shared" si="6"/>
        <v>1.0729584086595843</v>
      </c>
      <c r="T4" s="6">
        <v>1.7151384871272868</v>
      </c>
      <c r="U4" s="6">
        <v>1.0729584086595843</v>
      </c>
      <c r="V4" s="6">
        <v>1.7151384871272868</v>
      </c>
      <c r="W4" s="7" t="s">
        <v>294</v>
      </c>
      <c r="X4" s="7">
        <f>AVERAGE(S2:S3)</f>
        <v>1.1494158126889307</v>
      </c>
      <c r="Y4" s="7">
        <f>10^X4</f>
        <v>14.106387598188856</v>
      </c>
      <c r="Z4" s="7">
        <f>STDEV(S2:S3)/SQRT(2)</f>
        <v>0.11315822196676985</v>
      </c>
      <c r="AA4" s="7">
        <v>3.6</v>
      </c>
      <c r="AB4" s="7">
        <f>10^(X4-Z4)-Y4</f>
        <v>-3.2356855934687871</v>
      </c>
      <c r="AC4" s="7">
        <v>3.2</v>
      </c>
      <c r="AP4" s="6">
        <v>30</v>
      </c>
      <c r="AQ4" s="6">
        <v>0</v>
      </c>
      <c r="AR4" s="6">
        <v>2</v>
      </c>
      <c r="AS4" s="6">
        <v>51.89654994</v>
      </c>
    </row>
    <row r="5" spans="1:54" s="6" customFormat="1">
      <c r="A5" s="6" t="s">
        <v>220</v>
      </c>
      <c r="B5" s="6">
        <v>30</v>
      </c>
      <c r="C5" s="6">
        <v>0</v>
      </c>
      <c r="D5" s="6">
        <v>2</v>
      </c>
      <c r="E5" s="6">
        <v>17.760000000000002</v>
      </c>
      <c r="F5" s="6">
        <v>17.73</v>
      </c>
      <c r="G5" s="6">
        <v>17.670000000000002</v>
      </c>
      <c r="H5" s="6">
        <f t="shared" si="0"/>
        <v>17.720000000000002</v>
      </c>
      <c r="I5" s="6">
        <f t="shared" si="1"/>
        <v>4.5825756949558198E-2</v>
      </c>
      <c r="J5" s="6" t="s">
        <v>90</v>
      </c>
      <c r="K5" s="6">
        <v>1.75</v>
      </c>
      <c r="L5" s="6">
        <f t="shared" si="2"/>
        <v>20259.756565670214</v>
      </c>
      <c r="M5" s="6">
        <f t="shared" si="3"/>
        <v>4.9358934632733035E-5</v>
      </c>
      <c r="N5" s="7">
        <f t="shared" si="4"/>
        <v>49358.934632733035</v>
      </c>
      <c r="O5" s="6">
        <v>3.8937499999999998</v>
      </c>
      <c r="P5" s="6">
        <f t="shared" si="5"/>
        <v>3.8937499999999998E-6</v>
      </c>
      <c r="Q5" s="6">
        <v>0.9404117117715074</v>
      </c>
      <c r="R5" s="6">
        <f t="shared" si="7"/>
        <v>13.479683157304596</v>
      </c>
      <c r="S5" s="6">
        <f t="shared" si="6"/>
        <v>1.1296796841391061</v>
      </c>
      <c r="T5" s="6">
        <v>1.4933254459754861</v>
      </c>
      <c r="U5" s="6">
        <v>1.1296796841391061</v>
      </c>
      <c r="V5" s="6">
        <v>1.4933254459754861</v>
      </c>
      <c r="W5" s="7" t="s">
        <v>295</v>
      </c>
      <c r="X5" s="7">
        <f>AVERAGE(S25:S33)</f>
        <v>0.679119410035394</v>
      </c>
      <c r="Y5" s="7">
        <f>10^X5</f>
        <v>4.7766058922738992</v>
      </c>
      <c r="Z5" s="7">
        <f>STDEV(S25:S33)/3</f>
        <v>0.1305011296906248</v>
      </c>
      <c r="AA5" s="7">
        <f t="shared" ref="AA5:AA13" si="8">10^(X5+Z5)-Y5</f>
        <v>1.6742975253984014</v>
      </c>
      <c r="AB5" s="7">
        <f t="shared" ref="AB5:AB13" si="9">10^(X5-Z5)-Y5</f>
        <v>-1.2397425457228994</v>
      </c>
      <c r="AC5" s="7">
        <v>1.2</v>
      </c>
      <c r="AF5" s="6">
        <v>27</v>
      </c>
      <c r="AG5" s="6">
        <v>0</v>
      </c>
      <c r="AH5" s="6">
        <v>1</v>
      </c>
      <c r="AI5" s="6">
        <v>10.870702</v>
      </c>
      <c r="AJ5" s="6">
        <v>1.03625759</v>
      </c>
      <c r="AP5" s="6">
        <v>30</v>
      </c>
      <c r="AQ5" s="6">
        <v>0</v>
      </c>
      <c r="AR5" s="6">
        <v>2</v>
      </c>
      <c r="AS5" s="6">
        <v>31.140490289999999</v>
      </c>
    </row>
    <row r="6" spans="1:54" s="6" customFormat="1">
      <c r="A6" s="6" t="s">
        <v>221</v>
      </c>
      <c r="B6" s="6">
        <v>30</v>
      </c>
      <c r="C6" s="6">
        <v>0</v>
      </c>
      <c r="D6" s="6">
        <v>2</v>
      </c>
      <c r="E6" s="6" t="s">
        <v>31</v>
      </c>
      <c r="F6" s="6">
        <v>18.89</v>
      </c>
      <c r="G6" s="6">
        <v>18.72</v>
      </c>
      <c r="H6" s="6">
        <f t="shared" si="0"/>
        <v>18.805</v>
      </c>
      <c r="I6" s="6">
        <f t="shared" si="1"/>
        <v>0.12020815280171429</v>
      </c>
      <c r="J6" s="6" t="s">
        <v>89</v>
      </c>
      <c r="K6" s="6">
        <v>1.75</v>
      </c>
      <c r="L6" s="6">
        <f t="shared" si="2"/>
        <v>37181.808138975306</v>
      </c>
      <c r="M6" s="6">
        <f t="shared" si="3"/>
        <v>2.689487279000195E-5</v>
      </c>
      <c r="N6" s="7">
        <f t="shared" si="4"/>
        <v>26894.872790001951</v>
      </c>
      <c r="O6" s="6">
        <v>3.5375000000000001</v>
      </c>
      <c r="P6" s="6">
        <f t="shared" si="5"/>
        <v>3.5375E-6</v>
      </c>
      <c r="Q6" s="6">
        <v>0.92367332834248073</v>
      </c>
      <c r="R6" s="6">
        <f t="shared" si="7"/>
        <v>8.2310386815469752</v>
      </c>
      <c r="S6" s="6">
        <f t="shared" si="6"/>
        <v>0.91545464264862075</v>
      </c>
      <c r="T6" s="6">
        <v>1.4432776839025621</v>
      </c>
      <c r="U6" s="6">
        <v>0.91545464264862075</v>
      </c>
      <c r="V6" s="6">
        <v>1.4432776839025621</v>
      </c>
      <c r="W6" s="7" t="s">
        <v>296</v>
      </c>
      <c r="X6" s="7">
        <f>AVERAGE(S42:S50)</f>
        <v>0.57529889518536448</v>
      </c>
      <c r="Y6" s="7">
        <f t="shared" ref="Y6:Y13" si="10">10^X6</f>
        <v>3.7609615649636581</v>
      </c>
      <c r="Z6" s="7">
        <f>STDEV(S42:S50)/3</f>
        <v>0.10042845062369082</v>
      </c>
      <c r="AA6" s="7">
        <f t="shared" si="8"/>
        <v>0.97848188592235896</v>
      </c>
      <c r="AB6" s="7">
        <f t="shared" si="9"/>
        <v>-0.77646938994053771</v>
      </c>
      <c r="AC6" s="7">
        <v>0.8</v>
      </c>
      <c r="AF6" s="6">
        <v>27</v>
      </c>
      <c r="AG6" s="6">
        <v>0</v>
      </c>
      <c r="AH6" s="6">
        <v>2</v>
      </c>
      <c r="AI6" s="6">
        <v>18.305181300000001</v>
      </c>
      <c r="AJ6" s="6">
        <v>1.2625740299999999</v>
      </c>
      <c r="AP6" s="6">
        <v>30</v>
      </c>
      <c r="AQ6" s="6">
        <v>0</v>
      </c>
      <c r="AR6" s="6">
        <v>2</v>
      </c>
      <c r="AS6" s="6">
        <v>27.750939070000001</v>
      </c>
    </row>
    <row r="7" spans="1:54" s="6" customFormat="1">
      <c r="A7" s="6" t="s">
        <v>222</v>
      </c>
      <c r="B7" s="6">
        <v>30</v>
      </c>
      <c r="C7" s="6">
        <v>0</v>
      </c>
      <c r="D7" s="6">
        <v>3</v>
      </c>
      <c r="E7" s="6">
        <v>17.13</v>
      </c>
      <c r="F7" s="6">
        <v>17.309999999999999</v>
      </c>
      <c r="G7" s="6">
        <v>17.13</v>
      </c>
      <c r="H7" s="6">
        <f t="shared" si="0"/>
        <v>17.189999999999998</v>
      </c>
      <c r="I7" s="6">
        <f t="shared" si="1"/>
        <v>0.10392304845413247</v>
      </c>
      <c r="J7" s="6" t="s">
        <v>91</v>
      </c>
      <c r="K7" s="6">
        <v>1.75</v>
      </c>
      <c r="L7" s="6">
        <f t="shared" si="2"/>
        <v>15059.96827246923</v>
      </c>
      <c r="M7" s="6">
        <f t="shared" si="3"/>
        <v>6.6401202307183894E-5</v>
      </c>
      <c r="N7" s="7">
        <f t="shared" si="4"/>
        <v>66401.202307183892</v>
      </c>
      <c r="O7" s="6">
        <v>3.875</v>
      </c>
      <c r="P7" s="6">
        <f t="shared" si="5"/>
        <v>3.8750000000000002E-6</v>
      </c>
      <c r="Q7" s="6">
        <v>0.93998719978013978</v>
      </c>
      <c r="R7" s="6">
        <f t="shared" si="7"/>
        <v>18.229816478136513</v>
      </c>
      <c r="S7" s="6">
        <f t="shared" si="6"/>
        <v>1.2607822965796165</v>
      </c>
      <c r="T7" s="6">
        <v>1.8324182144971428</v>
      </c>
      <c r="U7" s="6">
        <v>1.2607822965796165</v>
      </c>
      <c r="V7" s="6">
        <v>1.8324182144971428</v>
      </c>
      <c r="W7" s="7" t="s">
        <v>297</v>
      </c>
      <c r="X7" s="7">
        <f>AVERAGE(S58:S66)</f>
        <v>0.40028971969607219</v>
      </c>
      <c r="Y7" s="7">
        <f t="shared" si="10"/>
        <v>2.5135626806862166</v>
      </c>
      <c r="Z7" s="7">
        <f>STDEV(S58:S66)/3</f>
        <v>0.12836816510807703</v>
      </c>
      <c r="AA7" s="7">
        <f t="shared" si="8"/>
        <v>0.86442362647729931</v>
      </c>
      <c r="AB7" s="7">
        <f t="shared" si="9"/>
        <v>-0.64321840595063251</v>
      </c>
      <c r="AC7" s="7">
        <v>0.6</v>
      </c>
      <c r="AF7" s="6">
        <v>30</v>
      </c>
      <c r="AG7" s="6">
        <v>0</v>
      </c>
      <c r="AH7" s="6">
        <v>2</v>
      </c>
      <c r="AI7" s="6">
        <v>11.829282600000001</v>
      </c>
      <c r="AJ7" s="6">
        <v>1.07295841</v>
      </c>
      <c r="AP7" s="6">
        <v>30</v>
      </c>
      <c r="AQ7" s="6">
        <v>0</v>
      </c>
      <c r="AR7" s="6">
        <v>3</v>
      </c>
      <c r="AS7" s="6">
        <v>67.985800339999997</v>
      </c>
    </row>
    <row r="8" spans="1:54" s="6" customFormat="1">
      <c r="A8" s="6" t="s">
        <v>223</v>
      </c>
      <c r="B8" s="6">
        <v>30</v>
      </c>
      <c r="C8" s="6">
        <v>0</v>
      </c>
      <c r="D8" s="6">
        <v>3</v>
      </c>
      <c r="E8" s="6">
        <v>16.68</v>
      </c>
      <c r="F8" s="6">
        <v>16.72</v>
      </c>
      <c r="G8" s="6">
        <v>16.649999999999999</v>
      </c>
      <c r="H8" s="6">
        <f t="shared" si="0"/>
        <v>16.683333333333334</v>
      </c>
      <c r="I8" s="6">
        <f t="shared" si="1"/>
        <v>3.5118845842842555E-2</v>
      </c>
      <c r="J8" s="6" t="s">
        <v>188</v>
      </c>
      <c r="K8" s="6">
        <v>1.75</v>
      </c>
      <c r="L8" s="6">
        <f t="shared" si="2"/>
        <v>11341.872971997467</v>
      </c>
      <c r="M8" s="6">
        <f t="shared" si="3"/>
        <v>8.816885910016373E-5</v>
      </c>
      <c r="N8" s="7">
        <f t="shared" si="4"/>
        <v>88168.859100163725</v>
      </c>
      <c r="O8" s="6">
        <v>10.925000000000001</v>
      </c>
      <c r="P8" s="6">
        <f t="shared" si="5"/>
        <v>1.0925000000000001E-5</v>
      </c>
      <c r="Q8" s="6">
        <v>0.98486320939040406</v>
      </c>
      <c r="R8" s="6">
        <f t="shared" si="7"/>
        <v>8.1944132363350253</v>
      </c>
      <c r="S8" s="6">
        <f t="shared" si="6"/>
        <v>0.91351786122010037</v>
      </c>
      <c r="T8" s="6">
        <v>1.2352772707841555</v>
      </c>
      <c r="U8" s="6">
        <v>0.91351786122010037</v>
      </c>
      <c r="V8" s="6">
        <v>1.2352772707841555</v>
      </c>
      <c r="W8" s="7" t="s">
        <v>298</v>
      </c>
      <c r="X8" s="7">
        <f>AVERAGE(S10:S17)</f>
        <v>0.95829445844506889</v>
      </c>
      <c r="Y8" s="7">
        <f t="shared" si="10"/>
        <v>9.0843625539543265</v>
      </c>
      <c r="Z8" s="7">
        <f>STDEV(S10:S17)/SQRT(8)</f>
        <v>9.4524290000552166E-2</v>
      </c>
      <c r="AA8" s="7">
        <f t="shared" si="8"/>
        <v>2.2088824057752294</v>
      </c>
      <c r="AB8" s="7">
        <f t="shared" si="9"/>
        <v>-1.7768399326028224</v>
      </c>
      <c r="AC8" s="7">
        <v>1.8</v>
      </c>
      <c r="AF8" s="6">
        <v>30</v>
      </c>
      <c r="AG8" s="6">
        <v>0</v>
      </c>
      <c r="AH8" s="6">
        <v>2</v>
      </c>
      <c r="AI8" s="6">
        <v>13.4796832</v>
      </c>
      <c r="AJ8" s="6">
        <v>1.12967968</v>
      </c>
      <c r="AP8" s="6">
        <v>30</v>
      </c>
      <c r="AQ8" s="6">
        <v>0</v>
      </c>
      <c r="AR8" s="6">
        <v>3</v>
      </c>
      <c r="AS8" s="6">
        <v>17.190055180000002</v>
      </c>
      <c r="BB8" s="7">
        <v>17.84</v>
      </c>
    </row>
    <row r="9" spans="1:54" s="6" customFormat="1">
      <c r="A9" s="6" t="s">
        <v>224</v>
      </c>
      <c r="B9" s="6">
        <v>30</v>
      </c>
      <c r="C9" s="6">
        <v>0</v>
      </c>
      <c r="D9" s="6">
        <v>3</v>
      </c>
      <c r="E9" s="6">
        <v>18.8</v>
      </c>
      <c r="F9" s="6">
        <v>18.86</v>
      </c>
      <c r="G9" s="6">
        <v>18.920000000000002</v>
      </c>
      <c r="H9" s="6">
        <f t="shared" si="0"/>
        <v>18.86</v>
      </c>
      <c r="I9" s="6">
        <f t="shared" si="1"/>
        <v>6.0000000000000497E-2</v>
      </c>
      <c r="J9" s="6" t="s">
        <v>19</v>
      </c>
      <c r="K9" s="6">
        <v>1.75</v>
      </c>
      <c r="L9" s="6">
        <f t="shared" si="2"/>
        <v>38344.016090012497</v>
      </c>
      <c r="M9" s="6">
        <f t="shared" si="3"/>
        <v>2.6079688618231907E-5</v>
      </c>
      <c r="N9" s="7">
        <f t="shared" si="4"/>
        <v>26079.688618231907</v>
      </c>
      <c r="O9" s="6">
        <v>2.5499999999999998</v>
      </c>
      <c r="P9" s="6">
        <f t="shared" si="5"/>
        <v>2.5499999999999997E-6</v>
      </c>
      <c r="Q9" s="6">
        <v>0.95176828271160385</v>
      </c>
      <c r="R9" s="6">
        <f t="shared" si="7"/>
        <v>10.745607996892936</v>
      </c>
      <c r="S9" s="6">
        <f t="shared" si="6"/>
        <v>1.031230993324473</v>
      </c>
      <c r="T9" s="6">
        <v>1.3582845420204268</v>
      </c>
      <c r="U9" s="6">
        <v>1.031230993324473</v>
      </c>
      <c r="V9" s="6">
        <v>1.3582845420204268</v>
      </c>
      <c r="W9" s="6" t="s">
        <v>299</v>
      </c>
      <c r="X9" s="6">
        <f>AVERAGE(S4:S9)</f>
        <v>1.0539373144285835</v>
      </c>
      <c r="Y9" s="6">
        <f t="shared" si="10"/>
        <v>11.32236925650953</v>
      </c>
      <c r="Z9" s="6">
        <f>STDEV(S4:S9)/SQRT(6)</f>
        <v>5.4250715963613423E-2</v>
      </c>
      <c r="AA9" s="6">
        <f t="shared" si="8"/>
        <v>1.5064896990107801</v>
      </c>
      <c r="AB9" s="6">
        <f t="shared" si="9"/>
        <v>-1.3295829903865499</v>
      </c>
      <c r="AC9" s="6">
        <v>1.3</v>
      </c>
      <c r="AF9" s="6">
        <v>30</v>
      </c>
      <c r="AG9" s="6">
        <v>0</v>
      </c>
      <c r="AH9" s="6">
        <v>2</v>
      </c>
      <c r="AI9" s="6">
        <v>8.2310386799999993</v>
      </c>
      <c r="AJ9" s="6">
        <v>0.91545463999999999</v>
      </c>
      <c r="AL9" s="6" t="s">
        <v>923</v>
      </c>
      <c r="AP9" s="6">
        <v>30</v>
      </c>
      <c r="AQ9" s="6">
        <v>0</v>
      </c>
      <c r="AR9" s="6">
        <v>3</v>
      </c>
      <c r="AS9" s="6">
        <v>22.818366009999998</v>
      </c>
      <c r="AT9" s="7" t="s">
        <v>986</v>
      </c>
      <c r="AU9" s="7" t="s">
        <v>250</v>
      </c>
      <c r="AV9" s="7" t="s">
        <v>289</v>
      </c>
      <c r="AW9" s="6" t="s">
        <v>257</v>
      </c>
      <c r="AX9" s="6" t="s">
        <v>987</v>
      </c>
      <c r="AY9" s="6" t="s">
        <v>693</v>
      </c>
      <c r="AZ9" s="6" t="s">
        <v>988</v>
      </c>
      <c r="BA9" s="6" t="s">
        <v>989</v>
      </c>
      <c r="BB9" s="7">
        <v>18.37</v>
      </c>
    </row>
    <row r="10" spans="1:54" s="7" customFormat="1">
      <c r="A10" s="7" t="s">
        <v>226</v>
      </c>
      <c r="B10" s="7">
        <v>27</v>
      </c>
      <c r="C10" s="7">
        <v>6</v>
      </c>
      <c r="D10" s="7">
        <v>1</v>
      </c>
      <c r="E10" s="7">
        <v>17.84</v>
      </c>
      <c r="F10" s="7">
        <v>18.03</v>
      </c>
      <c r="G10" s="7">
        <v>17.649999999999999</v>
      </c>
      <c r="H10" s="7">
        <f t="shared" si="0"/>
        <v>17.84</v>
      </c>
      <c r="I10" s="7">
        <f t="shared" si="1"/>
        <v>0.19000000000000128</v>
      </c>
      <c r="J10" s="7" t="s">
        <v>20</v>
      </c>
      <c r="K10" s="7">
        <v>1.75</v>
      </c>
      <c r="L10" s="7">
        <f t="shared" si="2"/>
        <v>21667.000261330752</v>
      </c>
      <c r="M10" s="7">
        <f t="shared" si="3"/>
        <v>4.6153135548934622E-5</v>
      </c>
      <c r="N10" s="7">
        <f t="shared" si="4"/>
        <v>46153.135548934624</v>
      </c>
      <c r="O10" s="7">
        <v>3.1124999999999998</v>
      </c>
      <c r="P10" s="7">
        <f t="shared" si="5"/>
        <v>3.1124999999999998E-6</v>
      </c>
      <c r="Q10" s="7">
        <v>0.9749558909120849</v>
      </c>
      <c r="R10" s="7">
        <f t="shared" si="7"/>
        <v>15.209217955856335</v>
      </c>
      <c r="S10" s="7">
        <f t="shared" si="6"/>
        <v>1.1821068836001403</v>
      </c>
      <c r="T10" s="7">
        <v>1.8992094299269662</v>
      </c>
      <c r="U10" s="7">
        <v>1.1821068836001403</v>
      </c>
      <c r="V10" s="7">
        <v>1.8992094299269662</v>
      </c>
      <c r="W10" s="6" t="s">
        <v>300</v>
      </c>
      <c r="X10" s="6">
        <f>AVERAGE(S34:S41)</f>
        <v>0.69458807948052392</v>
      </c>
      <c r="Y10" s="6">
        <f t="shared" si="10"/>
        <v>4.9498048798087106</v>
      </c>
      <c r="Z10" s="6">
        <f>STDEV(S34:S41)/SQRT(8)</f>
        <v>0.12627929702906557</v>
      </c>
      <c r="AA10" s="6">
        <f t="shared" si="8"/>
        <v>1.6703382099077215</v>
      </c>
      <c r="AB10" s="6">
        <f t="shared" si="9"/>
        <v>-1.2488926765307027</v>
      </c>
      <c r="AC10" s="6">
        <v>1.2</v>
      </c>
      <c r="AF10" s="7">
        <v>30</v>
      </c>
      <c r="AG10" s="7">
        <v>0</v>
      </c>
      <c r="AH10" s="7">
        <v>3</v>
      </c>
      <c r="AI10" s="7">
        <v>18.229816499999998</v>
      </c>
      <c r="AJ10" s="7">
        <v>1.2607823</v>
      </c>
      <c r="AK10" s="7" t="s">
        <v>633</v>
      </c>
      <c r="AL10" s="7" t="s">
        <v>250</v>
      </c>
      <c r="AM10" s="7" t="s">
        <v>289</v>
      </c>
      <c r="AP10" s="7">
        <v>27</v>
      </c>
      <c r="AQ10" s="7">
        <v>6</v>
      </c>
      <c r="AR10" s="7">
        <v>1</v>
      </c>
      <c r="AS10" s="7">
        <v>10.765443919999999</v>
      </c>
      <c r="AT10" s="7" t="s">
        <v>826</v>
      </c>
      <c r="AU10" s="7">
        <v>6</v>
      </c>
      <c r="AV10" s="7">
        <v>1</v>
      </c>
      <c r="AW10" s="7">
        <f>AVERAGE(AS10:AS12)</f>
        <v>54.725440703333334</v>
      </c>
      <c r="AX10" s="7">
        <f>AVERAGE(BB8:BB10)</f>
        <v>18.190000000000001</v>
      </c>
      <c r="AY10" s="7">
        <f>1/(2^AX10)*(10^9)</f>
        <v>3343.9854481355087</v>
      </c>
      <c r="AZ10" s="71">
        <v>3.8123648315548055</v>
      </c>
      <c r="BA10" s="71">
        <f>AY10/AZ10</f>
        <v>877.14203542574478</v>
      </c>
      <c r="BB10" s="7">
        <v>18.36</v>
      </c>
    </row>
    <row r="11" spans="1:54" s="7" customFormat="1">
      <c r="A11" s="7" t="s">
        <v>55</v>
      </c>
      <c r="B11" s="7">
        <v>27</v>
      </c>
      <c r="C11" s="7">
        <v>6</v>
      </c>
      <c r="D11" s="7">
        <v>1</v>
      </c>
      <c r="E11" s="7">
        <v>18.350000000000001</v>
      </c>
      <c r="F11" s="7">
        <v>18.350000000000001</v>
      </c>
      <c r="G11" s="7">
        <v>18.41</v>
      </c>
      <c r="H11" s="7">
        <f t="shared" si="0"/>
        <v>18.37</v>
      </c>
      <c r="I11" s="7">
        <f t="shared" si="1"/>
        <v>3.4641016151376811E-2</v>
      </c>
      <c r="J11" s="7" t="s">
        <v>21</v>
      </c>
      <c r="K11" s="7">
        <v>1.75</v>
      </c>
      <c r="L11" s="7">
        <f t="shared" si="2"/>
        <v>29148.012987871985</v>
      </c>
      <c r="M11" s="7">
        <f t="shared" si="3"/>
        <v>3.4307655908349012E-5</v>
      </c>
      <c r="N11" s="7">
        <f t="shared" si="4"/>
        <v>34307.655908349014</v>
      </c>
      <c r="O11" s="7">
        <v>2.2625000000000002</v>
      </c>
      <c r="P11" s="7">
        <f t="shared" si="5"/>
        <v>2.2625000000000004E-6</v>
      </c>
      <c r="Q11" s="7">
        <v>0.97845920279716903</v>
      </c>
      <c r="R11" s="7">
        <f t="shared" si="7"/>
        <v>15.497431858191728</v>
      </c>
      <c r="S11" s="7">
        <f t="shared" si="6"/>
        <v>1.1902597354461708</v>
      </c>
      <c r="T11" s="7">
        <v>1.8699501708005677</v>
      </c>
      <c r="U11" s="7">
        <v>1.1902597354461708</v>
      </c>
      <c r="V11" s="7">
        <v>1.8699501708005677</v>
      </c>
      <c r="W11" s="6" t="s">
        <v>301</v>
      </c>
      <c r="X11" s="6">
        <f>AVERAGE(S51:S57)</f>
        <v>0.64811149013381042</v>
      </c>
      <c r="Y11" s="6">
        <f t="shared" si="10"/>
        <v>4.4474542586869168</v>
      </c>
      <c r="Z11" s="6">
        <f>STDEV(S51:S57)/SQRT(7)</f>
        <v>9.6897655649538117E-2</v>
      </c>
      <c r="AA11" s="6">
        <f t="shared" si="8"/>
        <v>1.1117053828182559</v>
      </c>
      <c r="AB11" s="6">
        <f t="shared" si="9"/>
        <v>-0.88938961247055248</v>
      </c>
      <c r="AC11" s="6">
        <v>0.9</v>
      </c>
      <c r="AF11" s="7">
        <v>30</v>
      </c>
      <c r="AG11" s="7">
        <v>0</v>
      </c>
      <c r="AH11" s="7">
        <v>3</v>
      </c>
      <c r="AI11" s="7">
        <v>8.1944132399999994</v>
      </c>
      <c r="AJ11" s="7">
        <v>0.91351786000000001</v>
      </c>
      <c r="AK11" s="7" t="s">
        <v>826</v>
      </c>
      <c r="AL11" s="7">
        <v>6</v>
      </c>
      <c r="AM11" s="7">
        <v>1</v>
      </c>
      <c r="AN11" s="7">
        <f>AVERAGE(AI13:AI15)</f>
        <v>11.39402827</v>
      </c>
      <c r="AP11" s="7">
        <v>27</v>
      </c>
      <c r="AQ11" s="7">
        <v>6</v>
      </c>
      <c r="AR11" s="7">
        <v>1</v>
      </c>
      <c r="AS11" s="7">
        <v>79.288359069999998</v>
      </c>
      <c r="AT11" s="7" t="s">
        <v>826</v>
      </c>
      <c r="AU11" s="7">
        <v>6</v>
      </c>
      <c r="AV11" s="7">
        <v>2</v>
      </c>
      <c r="AW11" s="7">
        <f>AVERAGE(AS13:AS15)</f>
        <v>14.756386180000002</v>
      </c>
      <c r="AX11" s="7">
        <f>AVERAGE(BB11:BB13)</f>
        <v>16.883333333333333</v>
      </c>
      <c r="AY11" s="7">
        <f t="shared" ref="AY11:AY33" si="11">1/(2^AX11)*(10^9)</f>
        <v>8271.9945549119457</v>
      </c>
      <c r="AZ11" s="71">
        <v>0.99816682053385197</v>
      </c>
      <c r="BA11" s="71">
        <f t="shared" ref="BA11:BA33" si="12">AY11/AZ11</f>
        <v>8287.1864549533057</v>
      </c>
      <c r="BB11" s="7">
        <v>17.326666670000002</v>
      </c>
    </row>
    <row r="12" spans="1:54" s="7" customFormat="1">
      <c r="A12" s="7" t="s">
        <v>56</v>
      </c>
      <c r="B12" s="7">
        <v>27</v>
      </c>
      <c r="C12" s="7">
        <v>6</v>
      </c>
      <c r="D12" s="7">
        <v>2</v>
      </c>
      <c r="E12" s="7">
        <v>18.38</v>
      </c>
      <c r="F12" s="7">
        <v>18.36</v>
      </c>
      <c r="G12" s="7">
        <v>18.34</v>
      </c>
      <c r="H12" s="7">
        <f t="shared" si="0"/>
        <v>18.36</v>
      </c>
      <c r="I12" s="7">
        <f t="shared" si="1"/>
        <v>1.9999999999999574E-2</v>
      </c>
      <c r="J12" s="7" t="s">
        <v>22</v>
      </c>
      <c r="K12" s="7">
        <v>1.75</v>
      </c>
      <c r="L12" s="7">
        <f t="shared" si="2"/>
        <v>28985.351669037831</v>
      </c>
      <c r="M12" s="7">
        <f t="shared" si="3"/>
        <v>3.4500185176921646E-5</v>
      </c>
      <c r="N12" s="7">
        <f t="shared" si="4"/>
        <v>34500.185176921645</v>
      </c>
      <c r="O12" s="7">
        <v>10.0625</v>
      </c>
      <c r="P12" s="7">
        <f t="shared" si="5"/>
        <v>1.0062500000000001E-5</v>
      </c>
      <c r="Q12" s="7">
        <v>0.98652108847320696</v>
      </c>
      <c r="R12" s="7">
        <f t="shared" si="7"/>
        <v>3.4754349109284033</v>
      </c>
      <c r="S12" s="7">
        <f t="shared" si="6"/>
        <v>0.54100915931398386</v>
      </c>
      <c r="T12" s="7">
        <v>1.2600460114336278</v>
      </c>
      <c r="U12" s="7">
        <v>0.54100915931398386</v>
      </c>
      <c r="V12" s="7">
        <v>1.2600460114336278</v>
      </c>
      <c r="W12" s="6" t="s">
        <v>302</v>
      </c>
      <c r="X12" s="6">
        <f>AVERAGE(S67:S74)</f>
        <v>0.30992536911610058</v>
      </c>
      <c r="Y12" s="6">
        <f t="shared" si="10"/>
        <v>2.0413871144792046</v>
      </c>
      <c r="Z12" s="6">
        <f>STDEV(S67:S74)/SQRT(7)</f>
        <v>3.4810322308004286E-2</v>
      </c>
      <c r="AA12" s="6">
        <f t="shared" si="8"/>
        <v>0.17036113097290784</v>
      </c>
      <c r="AB12" s="6">
        <f t="shared" si="9"/>
        <v>-0.15723897070622916</v>
      </c>
      <c r="AC12" s="6">
        <v>0.2</v>
      </c>
      <c r="AF12" s="7">
        <v>30</v>
      </c>
      <c r="AG12" s="7">
        <v>0</v>
      </c>
      <c r="AH12" s="7">
        <v>3</v>
      </c>
      <c r="AI12" s="7">
        <v>10.745608000000001</v>
      </c>
      <c r="AJ12" s="7">
        <v>1.0312309900000001</v>
      </c>
      <c r="AK12" s="7" t="s">
        <v>826</v>
      </c>
      <c r="AL12" s="7">
        <v>6</v>
      </c>
      <c r="AM12" s="7">
        <v>2</v>
      </c>
      <c r="AN12" s="7">
        <f>AVERAGE(AI16:AI18)</f>
        <v>12.598790006666666</v>
      </c>
      <c r="AP12" s="7">
        <v>27</v>
      </c>
      <c r="AQ12" s="7">
        <v>6</v>
      </c>
      <c r="AR12" s="7">
        <v>1</v>
      </c>
      <c r="AS12" s="7">
        <v>74.122519120000007</v>
      </c>
      <c r="AT12" s="7" t="s">
        <v>826</v>
      </c>
      <c r="AU12" s="7">
        <v>6</v>
      </c>
      <c r="AV12" s="7">
        <v>3</v>
      </c>
      <c r="AW12" s="7">
        <f>AVERAGE(AS16:AS18)</f>
        <v>26.104606189999998</v>
      </c>
      <c r="AX12" s="7">
        <f>AVERAGE(BB14:BB15)</f>
        <v>17.856666664999999</v>
      </c>
      <c r="AY12" s="7">
        <f t="shared" si="11"/>
        <v>4213.1576615153062</v>
      </c>
      <c r="AZ12" s="71">
        <v>0.7391912173331715</v>
      </c>
      <c r="BA12" s="71">
        <f t="shared" si="12"/>
        <v>5699.6857683393355</v>
      </c>
      <c r="BB12" s="7">
        <v>16.829999999999998</v>
      </c>
    </row>
    <row r="13" spans="1:54" s="7" customFormat="1">
      <c r="A13" s="7" t="s">
        <v>57</v>
      </c>
      <c r="B13" s="7">
        <v>27</v>
      </c>
      <c r="C13" s="7">
        <v>6</v>
      </c>
      <c r="D13" s="7">
        <v>2</v>
      </c>
      <c r="E13" s="7">
        <v>17.34</v>
      </c>
      <c r="F13" s="7">
        <v>17.440000000000001</v>
      </c>
      <c r="G13" s="7">
        <v>17.2</v>
      </c>
      <c r="H13" s="7">
        <f t="shared" si="0"/>
        <v>17.326666666666668</v>
      </c>
      <c r="I13" s="7">
        <f t="shared" si="1"/>
        <v>0.12055427546683514</v>
      </c>
      <c r="J13" s="7" t="s">
        <v>23</v>
      </c>
      <c r="K13" s="7">
        <v>1.75</v>
      </c>
      <c r="L13" s="7">
        <f t="shared" si="2"/>
        <v>16256.956995851546</v>
      </c>
      <c r="M13" s="7">
        <f t="shared" si="3"/>
        <v>6.1512126793174162E-5</v>
      </c>
      <c r="N13" s="7">
        <f t="shared" si="4"/>
        <v>61512.12679317416</v>
      </c>
      <c r="O13" s="7">
        <v>8.7624999999999993</v>
      </c>
      <c r="P13" s="7">
        <f t="shared" si="5"/>
        <v>8.7624999999999995E-6</v>
      </c>
      <c r="Q13" s="7">
        <v>0.98801420828299624</v>
      </c>
      <c r="R13" s="7">
        <f t="shared" si="7"/>
        <v>7.1050889947879723</v>
      </c>
      <c r="S13" s="7">
        <f t="shared" si="6"/>
        <v>0.8515695220528311</v>
      </c>
      <c r="T13" s="7">
        <v>1.1518258039640419</v>
      </c>
      <c r="U13" s="7">
        <v>0.8515695220528311</v>
      </c>
      <c r="V13" s="7">
        <v>1.1518258039640419</v>
      </c>
      <c r="W13" s="6" t="s">
        <v>303</v>
      </c>
      <c r="X13" s="6">
        <f>AVERAGE(S18:S24)</f>
        <v>0.94194024846436508</v>
      </c>
      <c r="Y13" s="6">
        <f t="shared" si="10"/>
        <v>8.7486340061979657</v>
      </c>
      <c r="Z13" s="6">
        <f>STDEV(S18:S24)/SQRT(7)</f>
        <v>0.19910069404739267</v>
      </c>
      <c r="AA13" s="6">
        <f t="shared" si="8"/>
        <v>5.0883341830765296</v>
      </c>
      <c r="AB13" s="6">
        <f t="shared" si="9"/>
        <v>-3.2171768309382056</v>
      </c>
      <c r="AC13" s="6">
        <v>3.2</v>
      </c>
      <c r="AF13" s="7">
        <v>27</v>
      </c>
      <c r="AG13" s="7">
        <v>6</v>
      </c>
      <c r="AH13" s="7">
        <v>1</v>
      </c>
      <c r="AI13" s="7">
        <v>15.209218</v>
      </c>
      <c r="AJ13" s="7">
        <v>1.1821068800000001</v>
      </c>
      <c r="AK13" s="7" t="s">
        <v>826</v>
      </c>
      <c r="AL13" s="7">
        <v>6</v>
      </c>
      <c r="AM13" s="7">
        <v>3</v>
      </c>
      <c r="AN13" s="7">
        <f>AVERAGE(AI19:AI20)</f>
        <v>6.5543117449999997</v>
      </c>
      <c r="AP13" s="7">
        <v>27</v>
      </c>
      <c r="AQ13" s="7">
        <v>6</v>
      </c>
      <c r="AR13" s="7">
        <v>2</v>
      </c>
      <c r="AS13" s="7">
        <v>18.198936570000001</v>
      </c>
      <c r="AT13" s="6" t="s">
        <v>635</v>
      </c>
      <c r="AU13" s="6">
        <v>6</v>
      </c>
      <c r="AV13" s="6">
        <v>4</v>
      </c>
      <c r="AW13" s="6">
        <f>AVERAGE(AS19:AS20)</f>
        <v>8.8539051620000002</v>
      </c>
      <c r="AX13" s="7">
        <f>AVERAGE(BB16:BB18)</f>
        <v>17.688888889999998</v>
      </c>
      <c r="AY13" s="7">
        <f t="shared" si="11"/>
        <v>4732.7531601280507</v>
      </c>
      <c r="AZ13" s="72">
        <v>0.57329629237992608</v>
      </c>
      <c r="BA13" s="71">
        <f t="shared" si="12"/>
        <v>8255.3353702689456</v>
      </c>
      <c r="BB13" s="7">
        <v>16.493333329999999</v>
      </c>
    </row>
    <row r="14" spans="1:54" s="7" customFormat="1">
      <c r="A14" s="7" t="s">
        <v>58</v>
      </c>
      <c r="B14" s="7">
        <v>27</v>
      </c>
      <c r="C14" s="7">
        <v>6</v>
      </c>
      <c r="D14" s="7">
        <v>2</v>
      </c>
      <c r="E14" s="7">
        <v>16.829999999999998</v>
      </c>
      <c r="F14" s="7">
        <v>16.87</v>
      </c>
      <c r="G14" s="7">
        <v>16.79</v>
      </c>
      <c r="H14" s="7">
        <f t="shared" si="0"/>
        <v>16.830000000000002</v>
      </c>
      <c r="I14" s="7">
        <f t="shared" si="1"/>
        <v>4.0000000000000924E-2</v>
      </c>
      <c r="J14" s="7" t="s">
        <v>24</v>
      </c>
      <c r="K14" s="7">
        <v>1.75</v>
      </c>
      <c r="L14" s="7">
        <f t="shared" si="2"/>
        <v>12312.049684369178</v>
      </c>
      <c r="M14" s="7">
        <f t="shared" si="3"/>
        <v>8.1221244685972547E-5</v>
      </c>
      <c r="N14" s="7">
        <f t="shared" si="4"/>
        <v>81221.244685972546</v>
      </c>
      <c r="O14" s="7">
        <v>9</v>
      </c>
      <c r="P14" s="7">
        <f t="shared" si="5"/>
        <v>9.0000000000000002E-6</v>
      </c>
      <c r="Q14" s="7">
        <v>0.99115127585032348</v>
      </c>
      <c r="R14" s="7">
        <f t="shared" si="7"/>
        <v>9.1051517187863329</v>
      </c>
      <c r="S14" s="7">
        <f t="shared" si="6"/>
        <v>0.95928718682316683</v>
      </c>
      <c r="T14" s="7">
        <v>1.0750115173625314</v>
      </c>
      <c r="U14" s="7">
        <v>0.95928718682316683</v>
      </c>
      <c r="V14" s="7">
        <v>1.0750115173625314</v>
      </c>
      <c r="AF14" s="7">
        <v>27</v>
      </c>
      <c r="AG14" s="7">
        <v>6</v>
      </c>
      <c r="AH14" s="7">
        <v>1</v>
      </c>
      <c r="AI14" s="7">
        <v>15.4974319</v>
      </c>
      <c r="AJ14" s="7">
        <v>1.1902597399999999</v>
      </c>
      <c r="AK14" s="6" t="s">
        <v>635</v>
      </c>
      <c r="AL14" s="6">
        <v>6</v>
      </c>
      <c r="AM14" s="6">
        <v>4</v>
      </c>
      <c r="AN14" s="6">
        <f>AVERAGE(AI21:AI22)</f>
        <v>9.9346817000000005</v>
      </c>
      <c r="AP14" s="7">
        <v>27</v>
      </c>
      <c r="AQ14" s="7">
        <v>6</v>
      </c>
      <c r="AR14" s="7">
        <v>2</v>
      </c>
      <c r="AS14" s="7">
        <v>14.184884500000001</v>
      </c>
      <c r="AT14" s="6" t="s">
        <v>635</v>
      </c>
      <c r="AU14" s="6">
        <v>6</v>
      </c>
      <c r="AV14" s="6">
        <v>5</v>
      </c>
      <c r="AW14" s="6">
        <f>AVERAGE(AS21:AS22)</f>
        <v>12.1675561795</v>
      </c>
      <c r="AX14" s="7">
        <f>AVERAGE(BB19:BB20)</f>
        <v>17.248333334999998</v>
      </c>
      <c r="AY14" s="7">
        <f t="shared" si="11"/>
        <v>6422.9462986471317</v>
      </c>
      <c r="AZ14" s="72">
        <v>1.5129379860241632</v>
      </c>
      <c r="BA14" s="71">
        <f t="shared" si="12"/>
        <v>4245.3467081793206</v>
      </c>
      <c r="BB14" s="7">
        <v>17.95</v>
      </c>
    </row>
    <row r="15" spans="1:54" s="7" customFormat="1">
      <c r="A15" s="7" t="s">
        <v>59</v>
      </c>
      <c r="B15" s="7">
        <v>27</v>
      </c>
      <c r="C15" s="7">
        <v>6</v>
      </c>
      <c r="D15" s="7">
        <v>3</v>
      </c>
      <c r="E15" s="7">
        <v>16.39</v>
      </c>
      <c r="F15" s="7">
        <v>16.54</v>
      </c>
      <c r="G15" s="7">
        <v>16.55</v>
      </c>
      <c r="H15" s="7">
        <f t="shared" si="0"/>
        <v>16.493333333333336</v>
      </c>
      <c r="I15" s="7">
        <f t="shared" si="1"/>
        <v>8.9628864398324695E-2</v>
      </c>
      <c r="J15" s="7" t="s">
        <v>25</v>
      </c>
      <c r="K15" s="7">
        <v>1.75</v>
      </c>
      <c r="L15" s="7">
        <f t="shared" si="2"/>
        <v>10197.824875326884</v>
      </c>
      <c r="M15" s="7">
        <f t="shared" si="3"/>
        <v>9.8060126764821086E-5</v>
      </c>
      <c r="N15" s="7">
        <f t="shared" si="4"/>
        <v>98060.126764821092</v>
      </c>
      <c r="O15" s="7">
        <v>4.5999999999999996</v>
      </c>
      <c r="P15" s="7">
        <f t="shared" si="5"/>
        <v>4.6E-6</v>
      </c>
      <c r="Q15" s="7">
        <v>0.98755170653849245</v>
      </c>
      <c r="R15" s="7">
        <f t="shared" si="7"/>
        <v>21.586129334572441</v>
      </c>
      <c r="S15" s="7">
        <f t="shared" si="6"/>
        <v>1.3341747748335124</v>
      </c>
      <c r="T15" s="7">
        <v>1.6150263257365385</v>
      </c>
      <c r="U15" s="7">
        <v>1.3341747748335124</v>
      </c>
      <c r="V15" s="7">
        <v>1.6150263257365385</v>
      </c>
      <c r="W15" s="6" t="s">
        <v>422</v>
      </c>
      <c r="AF15" s="7">
        <v>27</v>
      </c>
      <c r="AG15" s="7">
        <v>6</v>
      </c>
      <c r="AH15" s="7">
        <v>2</v>
      </c>
      <c r="AI15" s="7">
        <v>3.4754349100000002</v>
      </c>
      <c r="AJ15" s="7">
        <v>0.54100915999999999</v>
      </c>
      <c r="AK15" s="6" t="s">
        <v>635</v>
      </c>
      <c r="AL15" s="6">
        <v>6</v>
      </c>
      <c r="AM15" s="6">
        <v>5</v>
      </c>
      <c r="AN15" s="6">
        <f>AVERAGE(AI23:AI25)</f>
        <v>9.6343945233333343</v>
      </c>
      <c r="AP15" s="7">
        <v>27</v>
      </c>
      <c r="AQ15" s="7">
        <v>6</v>
      </c>
      <c r="AR15" s="7">
        <v>2</v>
      </c>
      <c r="AS15" s="7">
        <v>11.88533747</v>
      </c>
      <c r="AT15" s="6" t="s">
        <v>635</v>
      </c>
      <c r="AU15" s="6">
        <v>6</v>
      </c>
      <c r="AV15" s="6">
        <v>6</v>
      </c>
      <c r="AW15" s="6">
        <f>AVERAGE(AS23:AS25)</f>
        <v>19.209700603333335</v>
      </c>
      <c r="AX15" s="7">
        <f>AVERAGE(BB21:BB22)</f>
        <v>15.54666667</v>
      </c>
      <c r="AY15" s="7">
        <f t="shared" si="11"/>
        <v>20892.335903742485</v>
      </c>
      <c r="AZ15" s="72">
        <v>1.2008196752887019</v>
      </c>
      <c r="BA15" s="71">
        <f t="shared" si="12"/>
        <v>17398.395723920443</v>
      </c>
      <c r="BB15" s="7">
        <v>17.763333329999998</v>
      </c>
    </row>
    <row r="16" spans="1:54" s="7" customFormat="1">
      <c r="A16" s="7" t="s">
        <v>182</v>
      </c>
      <c r="B16" s="7">
        <v>27</v>
      </c>
      <c r="C16" s="7">
        <v>6</v>
      </c>
      <c r="D16" s="7">
        <v>3</v>
      </c>
      <c r="E16" s="7">
        <v>17.95</v>
      </c>
      <c r="F16" s="7">
        <v>17.899999999999999</v>
      </c>
      <c r="G16" s="7">
        <v>18</v>
      </c>
      <c r="H16" s="7">
        <f t="shared" si="0"/>
        <v>17.95</v>
      </c>
      <c r="I16" s="7">
        <f t="shared" si="1"/>
        <v>5.0000000000000711E-2</v>
      </c>
      <c r="J16" s="7" t="s">
        <v>30</v>
      </c>
      <c r="K16" s="7">
        <v>1.75</v>
      </c>
      <c r="L16" s="7">
        <f t="shared" si="2"/>
        <v>23042.679215423177</v>
      </c>
      <c r="M16" s="7">
        <f t="shared" si="3"/>
        <v>4.3397731255602828E-5</v>
      </c>
      <c r="N16" s="7">
        <f t="shared" si="4"/>
        <v>43397.731255602826</v>
      </c>
      <c r="O16" s="7">
        <v>8.7437500000000004</v>
      </c>
      <c r="P16" s="7">
        <f t="shared" si="5"/>
        <v>8.7437500000000008E-6</v>
      </c>
      <c r="Q16" s="7">
        <v>0.99247074662530943</v>
      </c>
      <c r="R16" s="7">
        <f t="shared" si="7"/>
        <v>5.0009392579384597</v>
      </c>
      <c r="S16" s="7">
        <f t="shared" si="6"/>
        <v>0.69905157958219033</v>
      </c>
      <c r="T16" s="7">
        <v>1.0192374174876413</v>
      </c>
      <c r="U16" s="7">
        <v>0.69905157958219033</v>
      </c>
      <c r="V16" s="7">
        <v>1.0192374174876413</v>
      </c>
      <c r="AF16" s="7">
        <v>27</v>
      </c>
      <c r="AG16" s="7">
        <v>6</v>
      </c>
      <c r="AH16" s="7">
        <v>2</v>
      </c>
      <c r="AI16" s="7">
        <v>7.1050890000000004</v>
      </c>
      <c r="AJ16" s="7">
        <v>0.85156951999999997</v>
      </c>
      <c r="AK16" s="6" t="s">
        <v>635</v>
      </c>
      <c r="AL16" s="6">
        <v>6</v>
      </c>
      <c r="AM16" s="6">
        <v>6</v>
      </c>
      <c r="AN16" s="6">
        <f>AVERAGE(AI26:AI27)</f>
        <v>22.985278050000002</v>
      </c>
      <c r="AP16" s="7">
        <v>27</v>
      </c>
      <c r="AQ16" s="7">
        <v>6</v>
      </c>
      <c r="AR16" s="7">
        <v>3</v>
      </c>
      <c r="AS16" s="7">
        <v>41.212250009999998</v>
      </c>
      <c r="AT16" s="7" t="s">
        <v>826</v>
      </c>
      <c r="AU16" s="7">
        <v>12</v>
      </c>
      <c r="AV16" s="7">
        <v>1</v>
      </c>
      <c r="AW16" s="7">
        <f>AVERAGE(AS26:AS28)</f>
        <v>14.292941081333334</v>
      </c>
      <c r="AX16" s="7">
        <f>AVERAGE(BB23:BB25)</f>
        <v>16.785555553333335</v>
      </c>
      <c r="AY16" s="7">
        <f t="shared" si="11"/>
        <v>8852.0586876279613</v>
      </c>
      <c r="AZ16" s="71">
        <v>1.8201022752267255</v>
      </c>
      <c r="BA16" s="71">
        <f t="shared" si="12"/>
        <v>4863.4952046995722</v>
      </c>
      <c r="BB16" s="6">
        <v>15.75666667</v>
      </c>
    </row>
    <row r="17" spans="1:54" s="7" customFormat="1">
      <c r="A17" s="7" t="s">
        <v>183</v>
      </c>
      <c r="B17" s="7">
        <v>27</v>
      </c>
      <c r="C17" s="7">
        <v>6</v>
      </c>
      <c r="D17" s="7">
        <v>3</v>
      </c>
      <c r="E17" s="7">
        <v>17.47</v>
      </c>
      <c r="F17" s="7">
        <v>18.059999999999999</v>
      </c>
      <c r="G17" s="7">
        <v>17.760000000000002</v>
      </c>
      <c r="H17" s="7">
        <f t="shared" si="0"/>
        <v>17.763333333333335</v>
      </c>
      <c r="I17" s="7">
        <f t="shared" si="1"/>
        <v>0.29501412395567317</v>
      </c>
      <c r="J17" s="7" t="s">
        <v>26</v>
      </c>
      <c r="K17" s="7">
        <v>1.75</v>
      </c>
      <c r="L17" s="7">
        <f t="shared" si="2"/>
        <v>20757.061472485628</v>
      </c>
      <c r="M17" s="7">
        <f t="shared" si="3"/>
        <v>4.8176376088953763E-5</v>
      </c>
      <c r="N17" s="7">
        <f t="shared" si="4"/>
        <v>48176.376088953766</v>
      </c>
      <c r="O17" s="7">
        <v>6.0125000000000002</v>
      </c>
      <c r="P17" s="7">
        <f t="shared" si="5"/>
        <v>6.0125000000000005E-6</v>
      </c>
      <c r="Q17" s="7">
        <v>0.98828502147117714</v>
      </c>
      <c r="R17" s="7">
        <f t="shared" si="7"/>
        <v>8.1076842304964138</v>
      </c>
      <c r="S17" s="7">
        <f t="shared" si="6"/>
        <v>0.90889682590855636</v>
      </c>
      <c r="T17" s="7">
        <v>1.4256752714170591</v>
      </c>
      <c r="U17" s="7">
        <v>0.90889682590855636</v>
      </c>
      <c r="V17" s="7">
        <v>1.4256752714170591</v>
      </c>
      <c r="AF17" s="7">
        <v>27</v>
      </c>
      <c r="AG17" s="7">
        <v>6</v>
      </c>
      <c r="AH17" s="7">
        <v>2</v>
      </c>
      <c r="AI17" s="7">
        <v>9.1051517200000003</v>
      </c>
      <c r="AJ17" s="7">
        <v>0.95928718999999996</v>
      </c>
      <c r="AK17" s="7" t="s">
        <v>826</v>
      </c>
      <c r="AL17" s="7">
        <v>12</v>
      </c>
      <c r="AM17" s="7">
        <v>1</v>
      </c>
      <c r="AN17" s="7">
        <f>AVERAGE(AI28:AI30)</f>
        <v>8.7095056533333324</v>
      </c>
      <c r="AP17" s="7">
        <v>27</v>
      </c>
      <c r="AQ17" s="7">
        <v>6</v>
      </c>
      <c r="AR17" s="7">
        <v>3</v>
      </c>
      <c r="AS17" s="7">
        <v>10.45291497</v>
      </c>
      <c r="AT17" s="7" t="s">
        <v>826</v>
      </c>
      <c r="AU17" s="7">
        <v>12</v>
      </c>
      <c r="AV17" s="7">
        <v>2</v>
      </c>
      <c r="AW17" s="7">
        <f>AVERAGE(AS29:AS31)</f>
        <v>36.007494749999999</v>
      </c>
      <c r="AX17" s="7">
        <f>AVERAGE(BB26:BB28)</f>
        <v>15.755555556666666</v>
      </c>
      <c r="AY17" s="7">
        <f t="shared" si="11"/>
        <v>18076.118473315022</v>
      </c>
      <c r="AZ17" s="71">
        <v>1.3170890159654409</v>
      </c>
      <c r="BA17" s="71">
        <f t="shared" si="12"/>
        <v>13724.295210270982</v>
      </c>
      <c r="BB17" s="6">
        <v>20.81</v>
      </c>
    </row>
    <row r="18" spans="1:54" s="6" customFormat="1">
      <c r="A18" s="6" t="s">
        <v>184</v>
      </c>
      <c r="B18" s="6">
        <v>30</v>
      </c>
      <c r="C18" s="6">
        <v>6</v>
      </c>
      <c r="D18" s="6">
        <v>1</v>
      </c>
      <c r="E18" s="6">
        <v>15.7</v>
      </c>
      <c r="F18" s="6">
        <v>15.77</v>
      </c>
      <c r="G18" s="6">
        <v>15.8</v>
      </c>
      <c r="H18" s="6">
        <f t="shared" si="0"/>
        <v>15.756666666666666</v>
      </c>
      <c r="I18" s="6">
        <f t="shared" si="1"/>
        <v>5.1316014394469478E-2</v>
      </c>
      <c r="J18" s="6" t="s">
        <v>27</v>
      </c>
      <c r="K18" s="6">
        <v>1.75</v>
      </c>
      <c r="L18" s="6">
        <f t="shared" si="2"/>
        <v>6752.5766158912538</v>
      </c>
      <c r="M18" s="6">
        <f t="shared" si="3"/>
        <v>1.480916184862884E-4</v>
      </c>
      <c r="N18" s="7">
        <f t="shared" si="4"/>
        <v>148091.61848628841</v>
      </c>
      <c r="O18" s="6">
        <v>8.1062499999999993</v>
      </c>
      <c r="P18" s="6">
        <f t="shared" si="5"/>
        <v>8.1062499999999988E-6</v>
      </c>
      <c r="Q18" s="6">
        <v>0.97643356364790168</v>
      </c>
      <c r="R18" s="6">
        <f t="shared" si="7"/>
        <v>18.709741482944736</v>
      </c>
      <c r="S18" s="6">
        <f t="shared" si="6"/>
        <v>1.2720677867888275</v>
      </c>
      <c r="T18" s="6">
        <v>0.95333244545554996</v>
      </c>
      <c r="U18" s="6">
        <v>1.2720677867888275</v>
      </c>
      <c r="V18" s="6">
        <v>0.95333244545554996</v>
      </c>
      <c r="AF18" s="7">
        <v>27</v>
      </c>
      <c r="AG18" s="7">
        <v>6</v>
      </c>
      <c r="AH18" s="7">
        <v>3</v>
      </c>
      <c r="AI18" s="7">
        <v>21.5861293</v>
      </c>
      <c r="AJ18" s="7">
        <v>1.33417477</v>
      </c>
      <c r="AK18" s="7" t="s">
        <v>826</v>
      </c>
      <c r="AL18" s="7">
        <v>12</v>
      </c>
      <c r="AM18" s="7">
        <v>2</v>
      </c>
      <c r="AN18" s="7">
        <f>AVERAGE(AI31:AI33)</f>
        <v>5.7443427433333341</v>
      </c>
      <c r="AP18" s="7">
        <v>27</v>
      </c>
      <c r="AQ18" s="7">
        <v>6</v>
      </c>
      <c r="AR18" s="7">
        <v>3</v>
      </c>
      <c r="AS18" s="7">
        <v>26.648653589999999</v>
      </c>
      <c r="AT18" s="7" t="s">
        <v>826</v>
      </c>
      <c r="AU18" s="7">
        <v>12</v>
      </c>
      <c r="AV18" s="7">
        <v>3</v>
      </c>
      <c r="AW18" s="6">
        <f>AVERAGE(AS32:AS34)</f>
        <v>9.0274886026666668</v>
      </c>
      <c r="AX18" s="6">
        <f>AVERAGE(BB29:BB31)</f>
        <v>17.305555556666665</v>
      </c>
      <c r="AY18" s="7">
        <f t="shared" si="11"/>
        <v>6173.1763801025445</v>
      </c>
      <c r="AZ18" s="71">
        <v>1.8201022752267255</v>
      </c>
      <c r="BA18" s="71">
        <f t="shared" si="12"/>
        <v>3391.6645587037506</v>
      </c>
      <c r="BB18" s="6">
        <v>16.5</v>
      </c>
    </row>
    <row r="19" spans="1:54" s="6" customFormat="1">
      <c r="A19" s="6" t="s">
        <v>186</v>
      </c>
      <c r="B19" s="6">
        <v>30</v>
      </c>
      <c r="C19" s="6">
        <v>6</v>
      </c>
      <c r="D19" s="6">
        <v>1</v>
      </c>
      <c r="E19" s="6">
        <v>20.86</v>
      </c>
      <c r="F19" s="6">
        <v>20.86</v>
      </c>
      <c r="G19" s="6">
        <v>20.71</v>
      </c>
      <c r="H19" s="6">
        <f t="shared" si="0"/>
        <v>20.81</v>
      </c>
      <c r="I19" s="6">
        <f t="shared" si="1"/>
        <v>8.6602540378443046E-2</v>
      </c>
      <c r="J19" s="6" t="s">
        <v>9</v>
      </c>
      <c r="K19" s="6">
        <v>1.75</v>
      </c>
      <c r="L19" s="6">
        <f t="shared" si="2"/>
        <v>114188.34885199474</v>
      </c>
      <c r="M19" s="6">
        <f t="shared" si="3"/>
        <v>8.7574608973123023E-6</v>
      </c>
      <c r="N19" s="7">
        <f t="shared" si="4"/>
        <v>8757.4608973123031</v>
      </c>
      <c r="O19" s="6">
        <v>7.6</v>
      </c>
      <c r="P19" s="6">
        <f t="shared" si="5"/>
        <v>7.5999999999999992E-6</v>
      </c>
      <c r="Q19" s="6">
        <v>0.99368379152466235</v>
      </c>
      <c r="R19" s="6">
        <f t="shared" si="7"/>
        <v>1.1596219001624541</v>
      </c>
      <c r="S19" s="6">
        <f t="shared" si="6"/>
        <v>6.4316408674935016E-2</v>
      </c>
      <c r="T19" s="6">
        <v>0.94084756184591678</v>
      </c>
      <c r="U19" s="6">
        <v>6.4316408674935016E-2</v>
      </c>
      <c r="V19" s="6">
        <v>0.94084756184591678</v>
      </c>
      <c r="AF19" s="7">
        <v>27</v>
      </c>
      <c r="AG19" s="7">
        <v>6</v>
      </c>
      <c r="AH19" s="7">
        <v>3</v>
      </c>
      <c r="AI19" s="7">
        <v>5.00093926</v>
      </c>
      <c r="AJ19" s="7">
        <v>0.69905158000000001</v>
      </c>
      <c r="AK19" s="7" t="s">
        <v>826</v>
      </c>
      <c r="AL19" s="7">
        <v>12</v>
      </c>
      <c r="AM19" s="7">
        <v>3</v>
      </c>
      <c r="AN19" s="7">
        <f>AVERAGE(AI34:AI36)</f>
        <v>3.6324963666666665</v>
      </c>
      <c r="AP19" s="6">
        <v>30</v>
      </c>
      <c r="AQ19" s="6">
        <v>6</v>
      </c>
      <c r="AR19" s="6">
        <v>1</v>
      </c>
      <c r="AS19" s="6">
        <v>8.9811602480000001</v>
      </c>
      <c r="AT19" s="6" t="s">
        <v>635</v>
      </c>
      <c r="AU19" s="6">
        <v>12</v>
      </c>
      <c r="AV19" s="6">
        <v>4</v>
      </c>
      <c r="AW19" s="6">
        <f>AVERAGE(AS35:AS37)</f>
        <v>4.0278181596666665</v>
      </c>
      <c r="AX19" s="6">
        <f>AVERAGE(BB32:BB34)</f>
        <v>15.232222219999999</v>
      </c>
      <c r="AY19" s="7">
        <f t="shared" si="11"/>
        <v>25980.302961464153</v>
      </c>
      <c r="AZ19" s="72">
        <v>3.8566623771241946</v>
      </c>
      <c r="BA19" s="71">
        <f t="shared" si="12"/>
        <v>6736.4732561414776</v>
      </c>
      <c r="BB19" s="6">
        <v>17.3</v>
      </c>
    </row>
    <row r="20" spans="1:54" s="6" customFormat="1">
      <c r="A20" s="6" t="s">
        <v>187</v>
      </c>
      <c r="B20" s="6">
        <v>30</v>
      </c>
      <c r="C20" s="6">
        <v>6</v>
      </c>
      <c r="D20" s="6">
        <v>2</v>
      </c>
      <c r="E20" s="6">
        <v>16.38</v>
      </c>
      <c r="F20" s="6">
        <v>16.54</v>
      </c>
      <c r="G20" s="6">
        <v>16.579999999999998</v>
      </c>
      <c r="H20" s="6">
        <f t="shared" si="0"/>
        <v>16.5</v>
      </c>
      <c r="I20" s="6">
        <f t="shared" si="1"/>
        <v>0.10583005244258338</v>
      </c>
      <c r="J20" s="6">
        <f>AVERAGE(20.51,20.67,20.54)</f>
        <v>20.573333333333334</v>
      </c>
      <c r="K20" s="6">
        <v>1.75</v>
      </c>
      <c r="L20" s="6">
        <f t="shared" si="2"/>
        <v>10235.941692376537</v>
      </c>
      <c r="M20" s="6">
        <f t="shared" si="3"/>
        <v>9.7694968382320313E-5</v>
      </c>
      <c r="N20" s="7">
        <f t="shared" si="4"/>
        <v>97694.968382320309</v>
      </c>
      <c r="O20" s="6">
        <v>5.2249999999999996</v>
      </c>
      <c r="P20" s="6">
        <f t="shared" si="5"/>
        <v>5.2249999999999999E-6</v>
      </c>
      <c r="Q20" s="6">
        <v>0.98490231406972983</v>
      </c>
      <c r="R20" s="6">
        <f t="shared" si="7"/>
        <v>18.984219386195964</v>
      </c>
      <c r="S20" s="6">
        <f t="shared" si="6"/>
        <v>1.2783927440495577</v>
      </c>
      <c r="T20" s="6">
        <v>1.3309454214385907</v>
      </c>
      <c r="U20" s="6">
        <v>1.2783927440495577</v>
      </c>
      <c r="V20" s="6">
        <v>1.3309454214385907</v>
      </c>
      <c r="AF20" s="7">
        <v>27</v>
      </c>
      <c r="AG20" s="7">
        <v>6</v>
      </c>
      <c r="AH20" s="7">
        <v>3</v>
      </c>
      <c r="AI20" s="7">
        <v>8.1076842300000003</v>
      </c>
      <c r="AJ20" s="7">
        <v>0.90889682999999999</v>
      </c>
      <c r="AK20" s="6" t="s">
        <v>635</v>
      </c>
      <c r="AL20" s="6">
        <v>12</v>
      </c>
      <c r="AM20" s="6">
        <v>4</v>
      </c>
      <c r="AN20" s="6">
        <f>AVERAGE(AI37:AI39)</f>
        <v>3.1565082133333333</v>
      </c>
      <c r="AP20" s="6">
        <v>30</v>
      </c>
      <c r="AQ20" s="6">
        <v>6</v>
      </c>
      <c r="AR20" s="6">
        <v>1</v>
      </c>
      <c r="AS20" s="6">
        <v>8.7266500760000003</v>
      </c>
      <c r="AT20" s="6" t="s">
        <v>635</v>
      </c>
      <c r="AU20" s="6">
        <v>12</v>
      </c>
      <c r="AV20" s="6">
        <v>5</v>
      </c>
      <c r="AW20" s="6">
        <f>AVERAGE(AS38:AS40)</f>
        <v>7.9221036786666659</v>
      </c>
      <c r="AX20" s="6">
        <f>AVERAGE(BB35:BB37)</f>
        <v>15.386666666666665</v>
      </c>
      <c r="AY20" s="7">
        <f t="shared" si="11"/>
        <v>23342.738243469146</v>
      </c>
      <c r="AZ20" s="72">
        <v>7.6247296631095995</v>
      </c>
      <c r="BA20" s="71">
        <f t="shared" si="12"/>
        <v>3061.4512612043559</v>
      </c>
      <c r="BB20" s="6">
        <v>17.196666669999999</v>
      </c>
    </row>
    <row r="21" spans="1:54" s="6" customFormat="1">
      <c r="A21" s="6" t="s">
        <v>240</v>
      </c>
      <c r="B21" s="6">
        <v>30</v>
      </c>
      <c r="C21" s="6">
        <v>6</v>
      </c>
      <c r="D21" s="6">
        <v>2</v>
      </c>
      <c r="E21" s="6">
        <v>17.309999999999999</v>
      </c>
      <c r="F21" s="6">
        <v>17.25</v>
      </c>
      <c r="G21" s="6">
        <v>17.34</v>
      </c>
      <c r="H21" s="6">
        <f t="shared" si="0"/>
        <v>17.3</v>
      </c>
      <c r="I21" s="6">
        <f t="shared" si="1"/>
        <v>4.5825756949558198E-2</v>
      </c>
      <c r="J21" s="6">
        <f>AVERAGE(24.42,24.43,24.47)</f>
        <v>24.439999999999998</v>
      </c>
      <c r="K21" s="6">
        <v>1.75</v>
      </c>
      <c r="L21" s="6">
        <f t="shared" si="2"/>
        <v>16016.154230463202</v>
      </c>
      <c r="M21" s="6">
        <f t="shared" si="3"/>
        <v>6.2436961183726005E-5</v>
      </c>
      <c r="N21" s="7">
        <f t="shared" si="4"/>
        <v>62436.961183726002</v>
      </c>
      <c r="O21" s="6">
        <v>8.4875000000000007</v>
      </c>
      <c r="P21" s="6">
        <f t="shared" si="5"/>
        <v>8.4875000000000013E-6</v>
      </c>
      <c r="Q21" s="6">
        <v>0.97792513131554171</v>
      </c>
      <c r="R21" s="6">
        <f t="shared" si="7"/>
        <v>7.5223989659758592</v>
      </c>
      <c r="S21" s="6">
        <f t="shared" si="6"/>
        <v>0.87635636340263523</v>
      </c>
      <c r="T21" s="6">
        <v>0.46372867050747807</v>
      </c>
      <c r="U21" s="6">
        <v>0.87635636340263523</v>
      </c>
      <c r="V21" s="6">
        <v>0.46372867050747807</v>
      </c>
      <c r="AF21" s="6">
        <v>30</v>
      </c>
      <c r="AG21" s="6">
        <v>6</v>
      </c>
      <c r="AH21" s="6">
        <v>1</v>
      </c>
      <c r="AI21" s="6">
        <v>18.7097415</v>
      </c>
      <c r="AJ21" s="6">
        <v>1.2720677899999999</v>
      </c>
      <c r="AK21" s="6" t="s">
        <v>635</v>
      </c>
      <c r="AL21" s="6">
        <v>12</v>
      </c>
      <c r="AM21" s="6">
        <v>5</v>
      </c>
      <c r="AN21" s="6">
        <f>AVERAGE(AI40:AI42)</f>
        <v>5.4182616566666679</v>
      </c>
      <c r="AP21" s="6">
        <v>30</v>
      </c>
      <c r="AQ21" s="6">
        <v>6</v>
      </c>
      <c r="AR21" s="6">
        <v>2</v>
      </c>
      <c r="AS21" s="6">
        <v>21.42621317</v>
      </c>
      <c r="AT21" s="6" t="s">
        <v>635</v>
      </c>
      <c r="AU21" s="6">
        <v>12</v>
      </c>
      <c r="AV21" s="6">
        <v>6</v>
      </c>
      <c r="AW21" s="6">
        <f>AVERAGE(AS41:AS42)</f>
        <v>23.414904379999999</v>
      </c>
      <c r="AX21" s="6">
        <f>AVERAGE(BB38:BB39)</f>
        <v>14.90666667</v>
      </c>
      <c r="AY21" s="7">
        <f t="shared" si="11"/>
        <v>32557.136245131009</v>
      </c>
      <c r="AZ21" s="72">
        <v>5.6464842204392047</v>
      </c>
      <c r="BA21" s="71">
        <f t="shared" si="12"/>
        <v>5765.9129068811235</v>
      </c>
      <c r="BB21" s="6">
        <v>15.38666667</v>
      </c>
    </row>
    <row r="22" spans="1:54" s="6" customFormat="1">
      <c r="A22" s="6" t="s">
        <v>241</v>
      </c>
      <c r="B22" s="6">
        <v>30</v>
      </c>
      <c r="C22" s="6">
        <v>6</v>
      </c>
      <c r="D22" s="6">
        <v>3</v>
      </c>
      <c r="E22" s="6">
        <v>17.2</v>
      </c>
      <c r="F22" s="6">
        <v>17.190000000000001</v>
      </c>
      <c r="G22" s="6">
        <v>17.2</v>
      </c>
      <c r="H22" s="6">
        <f t="shared" si="0"/>
        <v>17.196666666666669</v>
      </c>
      <c r="I22" s="6">
        <f t="shared" si="1"/>
        <v>5.7735026918951087E-3</v>
      </c>
      <c r="J22" s="6" t="s">
        <v>129</v>
      </c>
      <c r="K22" s="6">
        <v>1.98</v>
      </c>
      <c r="L22" s="6">
        <f t="shared" si="2"/>
        <v>126372.44512086481</v>
      </c>
      <c r="M22" s="6">
        <f t="shared" si="3"/>
        <v>7.9131174445788596E-6</v>
      </c>
      <c r="N22" s="7">
        <f t="shared" si="4"/>
        <v>7913.1174445788592</v>
      </c>
      <c r="O22" s="6">
        <v>3.3468749999999998</v>
      </c>
      <c r="P22" s="6">
        <f t="shared" si="5"/>
        <v>3.3468749999999996E-6</v>
      </c>
      <c r="Q22" s="6">
        <v>0.98654947434008944</v>
      </c>
      <c r="R22" s="6">
        <f t="shared" si="7"/>
        <v>2.3965652039423637</v>
      </c>
      <c r="S22" s="6">
        <f t="shared" si="6"/>
        <v>0.37958924944595396</v>
      </c>
      <c r="T22" s="6">
        <v>1.412886264542101</v>
      </c>
      <c r="U22" s="6">
        <v>0.37958924944595396</v>
      </c>
      <c r="V22" s="6">
        <v>1.412886264542101</v>
      </c>
      <c r="AF22" s="6">
        <v>30</v>
      </c>
      <c r="AG22" s="6">
        <v>6</v>
      </c>
      <c r="AH22" s="6">
        <v>1</v>
      </c>
      <c r="AI22" s="6">
        <v>1.1596219000000001</v>
      </c>
      <c r="AJ22" s="6">
        <v>6.4316410000000004E-2</v>
      </c>
      <c r="AK22" s="6" t="s">
        <v>635</v>
      </c>
      <c r="AL22" s="6">
        <v>12</v>
      </c>
      <c r="AM22" s="6">
        <v>6</v>
      </c>
      <c r="AN22" s="6">
        <f>AVERAGE(AI43:AI44)</f>
        <v>13.926386124999999</v>
      </c>
      <c r="AP22" s="6">
        <v>30</v>
      </c>
      <c r="AQ22" s="6">
        <v>6</v>
      </c>
      <c r="AR22" s="6">
        <v>2</v>
      </c>
      <c r="AS22" s="6">
        <v>2.908899189</v>
      </c>
      <c r="AT22" s="7" t="s">
        <v>826</v>
      </c>
      <c r="AU22" s="7">
        <v>24</v>
      </c>
      <c r="AV22" s="7">
        <v>1</v>
      </c>
      <c r="AW22" s="7">
        <f>AVERAGE(AS43:AS45)</f>
        <v>18.406157026666666</v>
      </c>
      <c r="AX22" s="6">
        <f>AVERAGE(BB40:BB42)</f>
        <v>16.107222220000001</v>
      </c>
      <c r="AY22" s="7">
        <f t="shared" si="11"/>
        <v>14165.860638231379</v>
      </c>
      <c r="AZ22" s="71">
        <v>8.3629939579171886</v>
      </c>
      <c r="BA22" s="71">
        <f t="shared" si="12"/>
        <v>1693.8743121798691</v>
      </c>
      <c r="BB22" s="6">
        <v>15.706666670000001</v>
      </c>
    </row>
    <row r="23" spans="1:54" s="6" customFormat="1">
      <c r="A23" s="6" t="s">
        <v>242</v>
      </c>
      <c r="B23" s="6">
        <v>30</v>
      </c>
      <c r="C23" s="6">
        <v>6</v>
      </c>
      <c r="D23" s="6">
        <v>3</v>
      </c>
      <c r="E23" s="6">
        <v>15.17</v>
      </c>
      <c r="F23" s="6">
        <v>15.45</v>
      </c>
      <c r="G23" s="6">
        <v>15.54</v>
      </c>
      <c r="H23" s="6">
        <f t="shared" si="0"/>
        <v>15.386666666666665</v>
      </c>
      <c r="I23" s="6">
        <f t="shared" si="1"/>
        <v>0.19295940851208362</v>
      </c>
      <c r="J23" s="6">
        <f>AVERAGE(28.92,28.68,28.79)</f>
        <v>28.796666666666667</v>
      </c>
      <c r="K23" s="6">
        <v>1.75</v>
      </c>
      <c r="L23" s="6">
        <f t="shared" si="2"/>
        <v>5489.6599372192895</v>
      </c>
      <c r="M23" s="6">
        <f t="shared" si="3"/>
        <v>1.821606459118005E-4</v>
      </c>
      <c r="N23" s="7">
        <f t="shared" si="4"/>
        <v>182160.6459118005</v>
      </c>
      <c r="O23" s="6">
        <v>8.0124999999999993</v>
      </c>
      <c r="P23" s="6">
        <f t="shared" si="5"/>
        <v>8.0124999999999999E-6</v>
      </c>
      <c r="Q23" s="6">
        <v>0.97965107546349262</v>
      </c>
      <c r="R23" s="6">
        <f t="shared" si="7"/>
        <v>23.206791235702173</v>
      </c>
      <c r="S23" s="6">
        <f t="shared" si="6"/>
        <v>1.3656150954337007</v>
      </c>
      <c r="T23" s="6">
        <v>1.1401425409516834</v>
      </c>
      <c r="U23" s="6">
        <v>1.3656150954337007</v>
      </c>
      <c r="V23" s="6">
        <v>1.1401425409516834</v>
      </c>
      <c r="AF23" s="6">
        <v>30</v>
      </c>
      <c r="AG23" s="6">
        <v>6</v>
      </c>
      <c r="AH23" s="6">
        <v>2</v>
      </c>
      <c r="AI23" s="6">
        <v>18.984219400000001</v>
      </c>
      <c r="AJ23" s="6">
        <v>1.2783927399999999</v>
      </c>
      <c r="AK23" s="7" t="s">
        <v>826</v>
      </c>
      <c r="AL23" s="7">
        <v>24</v>
      </c>
      <c r="AM23" s="7">
        <v>1</v>
      </c>
      <c r="AN23" s="7">
        <f>AVERAGE(AI45:AI47)</f>
        <v>5.6363959299999999</v>
      </c>
      <c r="AP23" s="6">
        <v>30</v>
      </c>
      <c r="AQ23" s="6">
        <v>6</v>
      </c>
      <c r="AR23" s="6">
        <v>3</v>
      </c>
      <c r="AS23" s="6">
        <v>25.87535188</v>
      </c>
      <c r="AT23" s="7" t="s">
        <v>826</v>
      </c>
      <c r="AU23" s="7">
        <v>24</v>
      </c>
      <c r="AV23" s="7">
        <v>2</v>
      </c>
      <c r="AW23" s="7">
        <f>AVERAGE(AS46:AS48)</f>
        <v>7.891283727666667</v>
      </c>
      <c r="AX23" s="6">
        <f>AVERAGE(BB43:BB45)</f>
        <v>16.952222223333333</v>
      </c>
      <c r="AY23" s="7">
        <f t="shared" si="11"/>
        <v>7886.2877194896182</v>
      </c>
      <c r="AZ23" s="71">
        <v>66.903951663337651</v>
      </c>
      <c r="BA23" s="71">
        <f t="shared" si="12"/>
        <v>117.87476708660819</v>
      </c>
      <c r="BB23" s="7">
        <v>17.243333329999999</v>
      </c>
    </row>
    <row r="24" spans="1:54" s="6" customFormat="1">
      <c r="A24" s="6" t="s">
        <v>196</v>
      </c>
      <c r="B24" s="6">
        <v>30</v>
      </c>
      <c r="C24" s="6">
        <v>6</v>
      </c>
      <c r="D24" s="6">
        <v>3</v>
      </c>
      <c r="E24" s="6">
        <v>15.75</v>
      </c>
      <c r="F24" s="6">
        <v>15.67</v>
      </c>
      <c r="G24" s="6">
        <v>15.7</v>
      </c>
      <c r="H24" s="6">
        <f t="shared" si="0"/>
        <v>15.706666666666669</v>
      </c>
      <c r="I24" s="6">
        <f t="shared" si="1"/>
        <v>4.0414518843273892E-2</v>
      </c>
      <c r="J24" s="6" t="s">
        <v>28</v>
      </c>
      <c r="K24" s="6">
        <v>1.75</v>
      </c>
      <c r="L24" s="6">
        <f t="shared" si="2"/>
        <v>6566.2530876979436</v>
      </c>
      <c r="M24" s="6">
        <f t="shared" si="3"/>
        <v>1.5229385566534553E-4</v>
      </c>
      <c r="N24" s="7">
        <f t="shared" si="4"/>
        <v>152293.85566534553</v>
      </c>
      <c r="O24" s="6">
        <v>6.7750000000000004</v>
      </c>
      <c r="P24" s="6">
        <f t="shared" si="5"/>
        <v>6.7750000000000004E-6</v>
      </c>
      <c r="Q24" s="6">
        <v>0.98748155205406407</v>
      </c>
      <c r="R24" s="6">
        <f t="shared" si="7"/>
        <v>22.763764890012993</v>
      </c>
      <c r="S24" s="6">
        <f t="shared" si="6"/>
        <v>1.3572440914549446</v>
      </c>
      <c r="T24" s="6">
        <v>1.2539525607717716</v>
      </c>
      <c r="U24" s="6">
        <v>1.3572440914549446</v>
      </c>
      <c r="V24" s="6">
        <v>1.2539525607717716</v>
      </c>
      <c r="AF24" s="6">
        <v>30</v>
      </c>
      <c r="AG24" s="6">
        <v>6</v>
      </c>
      <c r="AH24" s="6">
        <v>2</v>
      </c>
      <c r="AI24" s="6">
        <v>7.5223989700000002</v>
      </c>
      <c r="AJ24" s="6">
        <v>0.87635635999999995</v>
      </c>
      <c r="AK24" s="7" t="s">
        <v>826</v>
      </c>
      <c r="AL24" s="7">
        <v>24</v>
      </c>
      <c r="AM24" s="7">
        <v>2</v>
      </c>
      <c r="AN24" s="7">
        <f>AVERAGE(AI48:AI50)</f>
        <v>4.9683797099999998</v>
      </c>
      <c r="AP24" s="6">
        <v>30</v>
      </c>
      <c r="AQ24" s="6">
        <v>6</v>
      </c>
      <c r="AR24" s="6">
        <v>3</v>
      </c>
      <c r="AS24" s="6">
        <v>13.80837399</v>
      </c>
      <c r="AT24" s="7" t="s">
        <v>826</v>
      </c>
      <c r="AU24" s="7">
        <v>24</v>
      </c>
      <c r="AV24" s="7">
        <v>3</v>
      </c>
      <c r="AW24" s="7">
        <f>AVERAGE(AS49:AS51)</f>
        <v>3.7873284980000004</v>
      </c>
      <c r="AX24" s="6">
        <f>AVERAGE(BB46:BB48)</f>
        <v>16.561111109999999</v>
      </c>
      <c r="AY24" s="7">
        <f t="shared" si="11"/>
        <v>10342.101467449927</v>
      </c>
      <c r="AZ24" s="71">
        <v>9.8311000374920532</v>
      </c>
      <c r="BA24" s="71">
        <f t="shared" si="12"/>
        <v>1051.9780521008952</v>
      </c>
      <c r="BB24" s="7">
        <v>16.53</v>
      </c>
    </row>
    <row r="25" spans="1:54" s="7" customFormat="1">
      <c r="A25" s="7" t="s">
        <v>197</v>
      </c>
      <c r="B25" s="7">
        <v>27</v>
      </c>
      <c r="C25" s="7">
        <v>12</v>
      </c>
      <c r="D25" s="7">
        <v>1</v>
      </c>
      <c r="E25" s="7">
        <v>17.18</v>
      </c>
      <c r="F25" s="7">
        <v>17.28</v>
      </c>
      <c r="G25" s="7">
        <v>17.27</v>
      </c>
      <c r="H25" s="7">
        <f t="shared" si="0"/>
        <v>17.243333333333336</v>
      </c>
      <c r="I25" s="7">
        <f t="shared" si="1"/>
        <v>5.5075705472861454E-2</v>
      </c>
      <c r="K25" s="7">
        <v>1.75</v>
      </c>
      <c r="L25" s="7">
        <f t="shared" si="2"/>
        <v>15516.225626105499</v>
      </c>
      <c r="M25" s="7">
        <f t="shared" si="3"/>
        <v>6.4448663231445638E-5</v>
      </c>
      <c r="N25" s="7">
        <f t="shared" si="4"/>
        <v>64448.663231445636</v>
      </c>
      <c r="O25" s="7">
        <v>6.2125000000000004</v>
      </c>
      <c r="P25" s="7">
        <f t="shared" si="5"/>
        <v>6.2125000000000002E-6</v>
      </c>
      <c r="Q25" s="7">
        <v>0.97951882277291391</v>
      </c>
      <c r="R25" s="7">
        <f t="shared" si="7"/>
        <v>10.590945327070354</v>
      </c>
      <c r="S25" s="7">
        <f t="shared" si="6"/>
        <v>1.0249347261138346</v>
      </c>
      <c r="T25" s="7">
        <v>1.2692018367495708</v>
      </c>
      <c r="U25" s="7">
        <v>1.0249347261138346</v>
      </c>
      <c r="V25" s="7">
        <v>1.2692018367495708</v>
      </c>
      <c r="AF25" s="6">
        <v>30</v>
      </c>
      <c r="AG25" s="6">
        <v>6</v>
      </c>
      <c r="AH25" s="6">
        <v>3</v>
      </c>
      <c r="AI25" s="6">
        <v>2.3965652</v>
      </c>
      <c r="AJ25" s="6">
        <v>0.37958924999999999</v>
      </c>
      <c r="AK25" s="7" t="s">
        <v>826</v>
      </c>
      <c r="AL25" s="7">
        <v>24</v>
      </c>
      <c r="AM25" s="7">
        <v>3</v>
      </c>
      <c r="AN25" s="7">
        <f>AVERAGE(AI51:AI53)</f>
        <v>2.8434215233333333</v>
      </c>
      <c r="AP25" s="6">
        <v>30</v>
      </c>
      <c r="AQ25" s="6">
        <v>6</v>
      </c>
      <c r="AR25" s="6">
        <v>3</v>
      </c>
      <c r="AS25" s="6">
        <v>17.945375940000002</v>
      </c>
      <c r="AT25" s="6" t="s">
        <v>635</v>
      </c>
      <c r="AU25" s="6">
        <v>24</v>
      </c>
      <c r="AV25" s="6">
        <v>4</v>
      </c>
      <c r="AW25" s="7">
        <f>AVERAGE(AS52:AS54)</f>
        <v>7.2477121669999995</v>
      </c>
      <c r="AX25" s="7">
        <f>AVERAGE(BB49:BB51)</f>
        <v>16.141111113333334</v>
      </c>
      <c r="AY25" s="7">
        <f t="shared" si="11"/>
        <v>13836.982495724922</v>
      </c>
      <c r="AZ25" s="72">
        <v>6.7928618830309375</v>
      </c>
      <c r="BA25" s="71">
        <f t="shared" si="12"/>
        <v>2036.9886410160509</v>
      </c>
      <c r="BB25" s="7">
        <v>16.583333329999999</v>
      </c>
    </row>
    <row r="26" spans="1:54" s="7" customFormat="1">
      <c r="A26" s="7" t="s">
        <v>198</v>
      </c>
      <c r="B26" s="7">
        <v>27</v>
      </c>
      <c r="C26" s="7">
        <v>12</v>
      </c>
      <c r="D26" s="7">
        <v>1</v>
      </c>
      <c r="E26" s="7">
        <v>16.57</v>
      </c>
      <c r="F26" s="7">
        <v>16.600000000000001</v>
      </c>
      <c r="G26" s="7">
        <v>16.420000000000002</v>
      </c>
      <c r="H26" s="7">
        <f t="shared" si="0"/>
        <v>16.53</v>
      </c>
      <c r="I26" s="7">
        <f t="shared" si="1"/>
        <v>9.6436507609929153E-2</v>
      </c>
      <c r="K26" s="7">
        <v>1.75</v>
      </c>
      <c r="L26" s="7">
        <f t="shared" si="2"/>
        <v>10409.238150829349</v>
      </c>
      <c r="M26" s="7">
        <f t="shared" si="3"/>
        <v>9.6068510059050351E-5</v>
      </c>
      <c r="N26" s="7">
        <f t="shared" si="4"/>
        <v>96068.510059050357</v>
      </c>
      <c r="O26" s="7">
        <v>8.5437499999999993</v>
      </c>
      <c r="P26" s="7">
        <f t="shared" si="5"/>
        <v>8.5437499999999993E-6</v>
      </c>
      <c r="Q26" s="7">
        <v>0.98521025017389319</v>
      </c>
      <c r="R26" s="7">
        <f t="shared" si="7"/>
        <v>11.413099452911702</v>
      </c>
      <c r="S26" s="7">
        <f t="shared" si="6"/>
        <v>1.057403601692819</v>
      </c>
      <c r="T26" s="7">
        <v>1.2214465138727835</v>
      </c>
      <c r="U26" s="7">
        <v>1.057403601692819</v>
      </c>
      <c r="V26" s="7">
        <v>1.2214465138727835</v>
      </c>
      <c r="AF26" s="6">
        <v>30</v>
      </c>
      <c r="AG26" s="6">
        <v>6</v>
      </c>
      <c r="AH26" s="6">
        <v>3</v>
      </c>
      <c r="AI26" s="6">
        <v>23.206791200000001</v>
      </c>
      <c r="AJ26" s="6">
        <v>1.3656151000000001</v>
      </c>
      <c r="AK26" s="6" t="s">
        <v>635</v>
      </c>
      <c r="AL26" s="6">
        <v>24</v>
      </c>
      <c r="AM26" s="6">
        <v>4</v>
      </c>
      <c r="AN26" s="6">
        <f>AVERAGE(AI54:AI55)</f>
        <v>6.2670067399999994</v>
      </c>
      <c r="AP26" s="7">
        <v>27</v>
      </c>
      <c r="AQ26" s="7">
        <v>12</v>
      </c>
      <c r="AR26" s="7">
        <v>1</v>
      </c>
      <c r="AS26" s="7">
        <v>18.58668063</v>
      </c>
      <c r="AT26" s="6" t="s">
        <v>635</v>
      </c>
      <c r="AU26" s="6">
        <v>24</v>
      </c>
      <c r="AV26" s="6">
        <v>5</v>
      </c>
      <c r="AW26" s="7">
        <f>AVERAGE(AS55:AS56)</f>
        <v>4.7396424335000003</v>
      </c>
      <c r="AX26" s="7">
        <f>AVERAGE(BB52:BB54)</f>
        <v>16.371111110000001</v>
      </c>
      <c r="AY26" s="7">
        <f t="shared" si="11"/>
        <v>11797.894099896443</v>
      </c>
      <c r="AZ26" s="72">
        <v>7.1141243272305763</v>
      </c>
      <c r="BA26" s="71">
        <f t="shared" si="12"/>
        <v>1658.3761482404664</v>
      </c>
      <c r="BB26" s="7">
        <v>15.92</v>
      </c>
    </row>
    <row r="27" spans="1:54" s="7" customFormat="1">
      <c r="A27" s="7" t="s">
        <v>199</v>
      </c>
      <c r="B27" s="7">
        <v>27</v>
      </c>
      <c r="C27" s="7">
        <v>12</v>
      </c>
      <c r="D27" s="7">
        <v>1</v>
      </c>
      <c r="E27" s="7">
        <v>16.579999999999998</v>
      </c>
      <c r="F27" s="7">
        <v>16.62</v>
      </c>
      <c r="G27" s="7">
        <v>16.55</v>
      </c>
      <c r="H27" s="7">
        <f t="shared" si="0"/>
        <v>16.583333333333332</v>
      </c>
      <c r="I27" s="7">
        <f t="shared" si="1"/>
        <v>3.5118845842842722E-2</v>
      </c>
      <c r="K27" s="7">
        <v>1.9</v>
      </c>
      <c r="L27" s="7">
        <f t="shared" si="2"/>
        <v>41943.424173225387</v>
      </c>
      <c r="M27" s="7">
        <f t="shared" si="3"/>
        <v>2.384163953496078E-5</v>
      </c>
      <c r="N27" s="7">
        <f t="shared" si="4"/>
        <v>23841.639534960781</v>
      </c>
      <c r="O27" s="7">
        <v>6.1624999999999996</v>
      </c>
      <c r="P27" s="7">
        <f t="shared" si="5"/>
        <v>6.1624999999999999E-6</v>
      </c>
      <c r="Q27" s="7">
        <v>0.9380172142165033</v>
      </c>
      <c r="R27" s="7">
        <f t="shared" si="7"/>
        <v>4.124472162547252</v>
      </c>
      <c r="S27" s="7">
        <f t="shared" si="6"/>
        <v>0.61536837674995204</v>
      </c>
      <c r="T27" s="7">
        <v>0.88314480940248186</v>
      </c>
      <c r="U27" s="7">
        <v>0.61536837674995204</v>
      </c>
      <c r="V27" s="7">
        <v>0.88314480940248186</v>
      </c>
      <c r="AF27" s="6">
        <v>30</v>
      </c>
      <c r="AG27" s="6">
        <v>6</v>
      </c>
      <c r="AH27" s="6">
        <v>3</v>
      </c>
      <c r="AI27" s="6">
        <v>22.763764900000002</v>
      </c>
      <c r="AJ27" s="6">
        <v>1.35724409</v>
      </c>
      <c r="AK27" s="6" t="s">
        <v>635</v>
      </c>
      <c r="AL27" s="6">
        <v>24</v>
      </c>
      <c r="AM27" s="6">
        <v>5</v>
      </c>
      <c r="AN27" s="6">
        <f>AVERAGE(AI56:AI58)</f>
        <v>4.6143979833333342</v>
      </c>
      <c r="AP27" s="7">
        <v>27</v>
      </c>
      <c r="AQ27" s="7">
        <v>12</v>
      </c>
      <c r="AR27" s="7">
        <v>1</v>
      </c>
      <c r="AS27" s="7">
        <v>16.65123745</v>
      </c>
      <c r="AT27" s="6" t="s">
        <v>635</v>
      </c>
      <c r="AU27" s="6">
        <v>24</v>
      </c>
      <c r="AV27" s="6">
        <v>6</v>
      </c>
      <c r="AW27" s="7">
        <f>AVERAGE(AS57:AS58)</f>
        <v>31.733607264499998</v>
      </c>
      <c r="AX27" s="7">
        <f>AVERAGE(BB55)</f>
        <v>16.704999999999998</v>
      </c>
      <c r="AY27" s="7">
        <f t="shared" si="11"/>
        <v>9360.3895359329745</v>
      </c>
      <c r="AZ27" s="72">
        <v>7.1141243272305763</v>
      </c>
      <c r="BA27" s="71">
        <f t="shared" si="12"/>
        <v>1315.7472522801463</v>
      </c>
      <c r="BB27" s="7">
        <v>15.02</v>
      </c>
    </row>
    <row r="28" spans="1:54" s="7" customFormat="1">
      <c r="A28" s="7" t="s">
        <v>200</v>
      </c>
      <c r="B28" s="7">
        <v>27</v>
      </c>
      <c r="C28" s="7">
        <v>12</v>
      </c>
      <c r="D28" s="7">
        <v>2</v>
      </c>
      <c r="E28" s="7">
        <v>15.95</v>
      </c>
      <c r="F28" s="7">
        <v>15.89</v>
      </c>
      <c r="G28" s="7" t="s">
        <v>227</v>
      </c>
      <c r="H28" s="7">
        <f t="shared" si="0"/>
        <v>15.92</v>
      </c>
      <c r="I28" s="7">
        <f t="shared" si="1"/>
        <v>4.2426406871191945E-2</v>
      </c>
      <c r="J28" s="7" t="s">
        <v>32</v>
      </c>
      <c r="K28" s="7">
        <v>1.9</v>
      </c>
      <c r="L28" s="7">
        <f t="shared" si="2"/>
        <v>27400.426771704697</v>
      </c>
      <c r="M28" s="7">
        <f t="shared" si="3"/>
        <v>3.6495781920910048E-5</v>
      </c>
      <c r="N28" s="7">
        <f t="shared" si="4"/>
        <v>36495.781920910049</v>
      </c>
      <c r="O28" s="7">
        <v>7.125</v>
      </c>
      <c r="P28" s="7">
        <f t="shared" si="5"/>
        <v>7.1250000000000004E-6</v>
      </c>
      <c r="Q28" s="7">
        <v>0.97232221730193857</v>
      </c>
      <c r="R28" s="7">
        <f t="shared" si="7"/>
        <v>5.2680221795784554</v>
      </c>
      <c r="S28" s="7">
        <f t="shared" si="6"/>
        <v>0.72164759477271068</v>
      </c>
      <c r="T28" s="7">
        <v>1.299805462258206</v>
      </c>
      <c r="U28" s="7">
        <v>0.72164759477271068</v>
      </c>
      <c r="V28" s="7">
        <v>1.299805462258206</v>
      </c>
      <c r="AF28" s="7">
        <v>27</v>
      </c>
      <c r="AG28" s="7">
        <v>12</v>
      </c>
      <c r="AH28" s="7">
        <v>1</v>
      </c>
      <c r="AI28" s="7">
        <v>10.5909453</v>
      </c>
      <c r="AJ28" s="7">
        <v>1.02493473</v>
      </c>
      <c r="AK28" s="6" t="s">
        <v>635</v>
      </c>
      <c r="AL28" s="6">
        <v>24</v>
      </c>
      <c r="AM28" s="6">
        <v>6</v>
      </c>
      <c r="AN28" s="6">
        <f>AVERAGE(AI59:AI60)</f>
        <v>4.458248105</v>
      </c>
      <c r="AP28" s="7">
        <v>27</v>
      </c>
      <c r="AQ28" s="7">
        <v>12</v>
      </c>
      <c r="AR28" s="7">
        <v>1</v>
      </c>
      <c r="AS28" s="7">
        <v>7.6409051640000003</v>
      </c>
      <c r="AT28" s="7" t="s">
        <v>826</v>
      </c>
      <c r="AU28" s="7">
        <v>48</v>
      </c>
      <c r="AV28" s="7">
        <v>1</v>
      </c>
      <c r="AW28" s="7">
        <f>AVERAGE(AS59:AS61)</f>
        <v>2.6875801400000001</v>
      </c>
      <c r="AX28" s="7">
        <f>AVERAGE(BB56:BB58)</f>
        <v>16.526666666666667</v>
      </c>
      <c r="AY28" s="7">
        <f t="shared" si="11"/>
        <v>10591.991046751329</v>
      </c>
      <c r="AZ28" s="71">
        <v>3.5570621636152944</v>
      </c>
      <c r="BA28" s="71">
        <f t="shared" si="12"/>
        <v>2977.7357154719889</v>
      </c>
      <c r="BB28" s="7">
        <v>16.326666670000002</v>
      </c>
    </row>
    <row r="29" spans="1:54" s="7" customFormat="1">
      <c r="A29" s="7" t="s">
        <v>201</v>
      </c>
      <c r="B29" s="7">
        <v>27</v>
      </c>
      <c r="C29" s="7">
        <v>12</v>
      </c>
      <c r="D29" s="7">
        <v>2</v>
      </c>
      <c r="E29" s="7">
        <v>15.02</v>
      </c>
      <c r="F29" s="7">
        <v>14.96</v>
      </c>
      <c r="G29" s="7">
        <v>15.08</v>
      </c>
      <c r="H29" s="7">
        <f t="shared" si="0"/>
        <v>15.020000000000001</v>
      </c>
      <c r="I29" s="7">
        <f t="shared" si="1"/>
        <v>5.9999999999999609E-2</v>
      </c>
      <c r="J29" s="7" t="s">
        <v>33</v>
      </c>
      <c r="K29" s="7">
        <v>1.9</v>
      </c>
      <c r="L29" s="7">
        <f t="shared" si="2"/>
        <v>15377.264560388219</v>
      </c>
      <c r="M29" s="7">
        <f t="shared" si="3"/>
        <v>6.503107207871006E-5</v>
      </c>
      <c r="N29" s="7">
        <f t="shared" si="4"/>
        <v>65031.072078710058</v>
      </c>
      <c r="O29" s="7">
        <v>11.18125</v>
      </c>
      <c r="P29" s="7">
        <f t="shared" si="5"/>
        <v>1.1181250000000001E-5</v>
      </c>
      <c r="Q29" s="7">
        <v>0.96551266937719549</v>
      </c>
      <c r="R29" s="7">
        <f t="shared" si="7"/>
        <v>6.0238282220218844</v>
      </c>
      <c r="S29" s="7">
        <f t="shared" si="6"/>
        <v>0.77987257884807382</v>
      </c>
      <c r="T29" s="7">
        <v>1.2077287875839293</v>
      </c>
      <c r="U29" s="7">
        <v>0.77987257884807382</v>
      </c>
      <c r="V29" s="7">
        <v>1.2077287875839293</v>
      </c>
      <c r="AF29" s="7">
        <v>27</v>
      </c>
      <c r="AG29" s="7">
        <v>12</v>
      </c>
      <c r="AH29" s="7">
        <v>1</v>
      </c>
      <c r="AI29" s="7">
        <v>11.4130995</v>
      </c>
      <c r="AJ29" s="7">
        <v>1.0574036</v>
      </c>
      <c r="AK29" s="7" t="s">
        <v>826</v>
      </c>
      <c r="AL29" s="7">
        <v>48</v>
      </c>
      <c r="AM29" s="7">
        <v>1</v>
      </c>
      <c r="AN29" s="7">
        <f>AVERAGE(AI61:AI63)</f>
        <v>2.2947476966666667</v>
      </c>
      <c r="AP29" s="7">
        <v>27</v>
      </c>
      <c r="AQ29" s="7">
        <v>12</v>
      </c>
      <c r="AR29" s="7">
        <v>2</v>
      </c>
      <c r="AS29" s="7">
        <v>19.943687579999999</v>
      </c>
      <c r="AT29" s="7" t="s">
        <v>826</v>
      </c>
      <c r="AU29" s="7">
        <v>48</v>
      </c>
      <c r="AV29" s="7">
        <v>2</v>
      </c>
      <c r="AW29" s="7">
        <f>AVERAGE(AS62:AS64)</f>
        <v>3.456762334</v>
      </c>
      <c r="AX29" s="7">
        <f>AVERAGE(BB59:BB61)</f>
        <v>16.364444443333337</v>
      </c>
      <c r="AY29" s="7">
        <f t="shared" si="11"/>
        <v>11852.538103997047</v>
      </c>
      <c r="AZ29" s="71">
        <v>7.4505805969238281</v>
      </c>
      <c r="BA29" s="71">
        <f t="shared" si="12"/>
        <v>1590.8207353519115</v>
      </c>
      <c r="BB29" s="7">
        <v>16.14</v>
      </c>
    </row>
    <row r="30" spans="1:54" s="7" customFormat="1">
      <c r="A30" s="7" t="s">
        <v>202</v>
      </c>
      <c r="B30" s="7">
        <v>27</v>
      </c>
      <c r="C30" s="7">
        <v>12</v>
      </c>
      <c r="D30" s="7">
        <v>2</v>
      </c>
      <c r="E30" s="7">
        <v>16.27</v>
      </c>
      <c r="F30" s="7">
        <v>16.46</v>
      </c>
      <c r="G30" s="7">
        <v>16.25</v>
      </c>
      <c r="H30" s="7">
        <f t="shared" si="0"/>
        <v>16.326666666666668</v>
      </c>
      <c r="I30" s="7">
        <f t="shared" si="1"/>
        <v>0.11590225767142533</v>
      </c>
      <c r="J30" s="7" t="s">
        <v>34</v>
      </c>
      <c r="K30" s="7">
        <v>1.9</v>
      </c>
      <c r="L30" s="7">
        <f t="shared" si="2"/>
        <v>35572.724172249931</v>
      </c>
      <c r="M30" s="7">
        <f t="shared" si="3"/>
        <v>2.8111425910419704E-5</v>
      </c>
      <c r="N30" s="7">
        <f t="shared" si="4"/>
        <v>28111.425910419704</v>
      </c>
      <c r="O30" s="7">
        <v>4.8250000000000002</v>
      </c>
      <c r="P30" s="7">
        <f t="shared" si="5"/>
        <v>4.8250000000000004E-6</v>
      </c>
      <c r="Q30" s="7">
        <v>0.98064768054604745</v>
      </c>
      <c r="R30" s="7">
        <f t="shared" si="7"/>
        <v>5.9411778325756259</v>
      </c>
      <c r="S30" s="7">
        <f t="shared" si="6"/>
        <v>0.77387255196437044</v>
      </c>
      <c r="T30" s="7">
        <v>1.8570023642406317</v>
      </c>
      <c r="U30" s="7">
        <v>0.77387255196437044</v>
      </c>
      <c r="V30" s="7">
        <v>1.8570023642406317</v>
      </c>
      <c r="AF30" s="7">
        <v>27</v>
      </c>
      <c r="AG30" s="7">
        <v>12</v>
      </c>
      <c r="AH30" s="7">
        <v>1</v>
      </c>
      <c r="AI30" s="7">
        <v>4.1244721599999998</v>
      </c>
      <c r="AJ30" s="7">
        <v>0.61536838000000005</v>
      </c>
      <c r="AK30" s="7" t="s">
        <v>826</v>
      </c>
      <c r="AL30" s="7">
        <v>48</v>
      </c>
      <c r="AM30" s="7">
        <v>2</v>
      </c>
      <c r="AN30" s="7">
        <f>AVERAGE(AI64:AI66)</f>
        <v>4.675467246666666</v>
      </c>
      <c r="AP30" s="7">
        <v>27</v>
      </c>
      <c r="AQ30" s="7">
        <v>12</v>
      </c>
      <c r="AR30" s="7">
        <v>2</v>
      </c>
      <c r="AS30" s="7">
        <v>16.133507210000001</v>
      </c>
      <c r="AT30" s="7" t="s">
        <v>826</v>
      </c>
      <c r="AU30" s="7">
        <v>48</v>
      </c>
      <c r="AV30" s="7">
        <v>3</v>
      </c>
      <c r="AW30" s="7">
        <f>AVERAGE(AS65:AS66)</f>
        <v>4.0180007299999998</v>
      </c>
      <c r="AX30" s="7">
        <f>AVERAGE(BB62:BB64)</f>
        <v>16.802222220000001</v>
      </c>
      <c r="AY30" s="7">
        <f t="shared" si="11"/>
        <v>8750.3841217069057</v>
      </c>
      <c r="AZ30" s="71">
        <v>4.1814969789586014</v>
      </c>
      <c r="BA30" s="71">
        <f t="shared" si="12"/>
        <v>2092.6438942175637</v>
      </c>
      <c r="BB30" s="7">
        <v>16.190000000000001</v>
      </c>
    </row>
    <row r="31" spans="1:54" s="7" customFormat="1">
      <c r="A31" s="7" t="s">
        <v>203</v>
      </c>
      <c r="B31" s="7">
        <v>27</v>
      </c>
      <c r="C31" s="7">
        <v>12</v>
      </c>
      <c r="D31" s="7">
        <v>3</v>
      </c>
      <c r="E31" s="7" t="s">
        <v>31</v>
      </c>
      <c r="F31" s="7">
        <v>16.170000000000002</v>
      </c>
      <c r="G31" s="7">
        <v>16.11</v>
      </c>
      <c r="H31" s="7">
        <f t="shared" si="0"/>
        <v>16.14</v>
      </c>
      <c r="I31" s="7">
        <f t="shared" si="1"/>
        <v>4.2426406871194457E-2</v>
      </c>
      <c r="J31" s="7" t="s">
        <v>29</v>
      </c>
      <c r="K31" s="7">
        <v>1.9</v>
      </c>
      <c r="L31" s="7">
        <f t="shared" si="2"/>
        <v>31556.085157372214</v>
      </c>
      <c r="M31" s="7">
        <f t="shared" si="3"/>
        <v>3.168960899341398E-5</v>
      </c>
      <c r="N31" s="7">
        <f t="shared" si="4"/>
        <v>31689.608993413982</v>
      </c>
      <c r="O31" s="7">
        <v>7.3312499999999998</v>
      </c>
      <c r="P31" s="7">
        <f t="shared" si="5"/>
        <v>7.3312499999999995E-6</v>
      </c>
      <c r="Q31" s="7">
        <v>0.93508705653803725</v>
      </c>
      <c r="R31" s="7">
        <f t="shared" si="7"/>
        <v>4.6226052225825889</v>
      </c>
      <c r="S31" s="7">
        <f t="shared" si="6"/>
        <v>0.66488680562177593</v>
      </c>
      <c r="T31" s="7">
        <v>0.52856591499767946</v>
      </c>
      <c r="U31" s="7">
        <v>0.66488680562177593</v>
      </c>
      <c r="V31" s="7">
        <v>0.52856591499767946</v>
      </c>
      <c r="AF31" s="7">
        <v>27</v>
      </c>
      <c r="AG31" s="7">
        <v>12</v>
      </c>
      <c r="AH31" s="7">
        <v>2</v>
      </c>
      <c r="AI31" s="7">
        <v>5.26802218</v>
      </c>
      <c r="AJ31" s="7">
        <v>0.72164759000000001</v>
      </c>
      <c r="AK31" s="7" t="s">
        <v>826</v>
      </c>
      <c r="AL31" s="7">
        <v>48</v>
      </c>
      <c r="AM31" s="7">
        <v>3</v>
      </c>
      <c r="AN31" s="7">
        <f>AVERAGE(AI67:AI69)</f>
        <v>3.2729645633333333</v>
      </c>
      <c r="AP31" s="7">
        <v>27</v>
      </c>
      <c r="AQ31" s="7">
        <v>12</v>
      </c>
      <c r="AR31" s="7">
        <v>2</v>
      </c>
      <c r="AS31" s="7">
        <v>71.945289459999998</v>
      </c>
      <c r="AT31" s="6" t="s">
        <v>635</v>
      </c>
      <c r="AU31" s="6">
        <v>48</v>
      </c>
      <c r="AV31" s="6">
        <v>4</v>
      </c>
      <c r="AW31" s="7">
        <f>AVERAGE(AS67:AS68)</f>
        <v>4.0542076624999996</v>
      </c>
      <c r="AX31" s="7">
        <f>AVERAGE(BB65:BB66)</f>
        <v>16.676666669999999</v>
      </c>
      <c r="AY31" s="7">
        <f t="shared" si="11"/>
        <v>9546.0368087983934</v>
      </c>
      <c r="AZ31" s="72">
        <v>1.73790937575848</v>
      </c>
      <c r="BA31" s="71">
        <f t="shared" si="12"/>
        <v>5492.8277285069562</v>
      </c>
      <c r="BB31" s="7">
        <v>19.58666667</v>
      </c>
    </row>
    <row r="32" spans="1:54" s="7" customFormat="1">
      <c r="A32" s="7" t="s">
        <v>204</v>
      </c>
      <c r="B32" s="7">
        <v>27</v>
      </c>
      <c r="C32" s="7">
        <v>12</v>
      </c>
      <c r="D32" s="7">
        <v>3</v>
      </c>
      <c r="E32" s="7">
        <v>16.23</v>
      </c>
      <c r="F32" s="7">
        <v>16.18</v>
      </c>
      <c r="G32" s="7">
        <v>16.16</v>
      </c>
      <c r="H32" s="7">
        <f t="shared" si="0"/>
        <v>16.189999999999998</v>
      </c>
      <c r="I32" s="7">
        <f t="shared" si="1"/>
        <v>3.6055512754640105E-2</v>
      </c>
      <c r="J32" s="7">
        <f>AVERAGE(H2:H26)</f>
        <v>17.356999999999999</v>
      </c>
      <c r="K32" s="7">
        <v>1.9</v>
      </c>
      <c r="L32" s="7">
        <f t="shared" si="2"/>
        <v>32585.230649326386</v>
      </c>
      <c r="M32" s="7">
        <f t="shared" si="3"/>
        <v>3.0688750089319143E-5</v>
      </c>
      <c r="N32" s="7">
        <f t="shared" si="4"/>
        <v>30688.750089319143</v>
      </c>
      <c r="O32" s="7">
        <v>5.84375</v>
      </c>
      <c r="P32" s="7">
        <f t="shared" si="5"/>
        <v>5.8437499999999997E-6</v>
      </c>
      <c r="Q32" s="7">
        <v>0.91213208947240021</v>
      </c>
      <c r="R32" s="7">
        <f t="shared" si="7"/>
        <v>5.7574455257475092</v>
      </c>
      <c r="S32" s="7">
        <f t="shared" si="6"/>
        <v>0.76022983756476514</v>
      </c>
      <c r="T32" s="7">
        <v>0.82425921254338286</v>
      </c>
      <c r="U32" s="7">
        <v>0.76022983756476514</v>
      </c>
      <c r="V32" s="7">
        <v>0.82425921254338286</v>
      </c>
      <c r="AF32" s="7">
        <v>27</v>
      </c>
      <c r="AG32" s="7">
        <v>12</v>
      </c>
      <c r="AH32" s="7">
        <v>2</v>
      </c>
      <c r="AI32" s="7">
        <v>6.0238282200000004</v>
      </c>
      <c r="AJ32" s="7">
        <v>0.77987258000000004</v>
      </c>
      <c r="AK32" s="6" t="s">
        <v>635</v>
      </c>
      <c r="AL32" s="6">
        <v>48</v>
      </c>
      <c r="AM32" s="6">
        <v>4</v>
      </c>
      <c r="AN32" s="6">
        <f>AVERAGE(AI70:AI71)</f>
        <v>2.1615496049999998</v>
      </c>
      <c r="AP32" s="7">
        <v>27</v>
      </c>
      <c r="AQ32" s="7">
        <v>12</v>
      </c>
      <c r="AR32" s="7">
        <v>3</v>
      </c>
      <c r="AS32" s="7">
        <v>3.3772710319999999</v>
      </c>
      <c r="AT32" s="6" t="s">
        <v>635</v>
      </c>
      <c r="AU32" s="6">
        <v>48</v>
      </c>
      <c r="AV32" s="6">
        <v>5</v>
      </c>
      <c r="AW32" s="7">
        <f>AVERAGE(AS70:AS72)</f>
        <v>2.9877147963333335</v>
      </c>
      <c r="AX32" s="7">
        <f>AVERAGE(BB67:BB69)</f>
        <v>16.314444446666666</v>
      </c>
      <c r="AY32" s="7">
        <f t="shared" si="11"/>
        <v>12270.516929210653</v>
      </c>
      <c r="AZ32" s="72">
        <v>0.35290526377744896</v>
      </c>
      <c r="BA32" s="71">
        <f t="shared" si="12"/>
        <v>34770.00257198984</v>
      </c>
      <c r="BB32" s="6">
        <v>15.45333333</v>
      </c>
    </row>
    <row r="33" spans="1:54" s="7" customFormat="1">
      <c r="A33" s="7" t="s">
        <v>205</v>
      </c>
      <c r="B33" s="7">
        <v>27</v>
      </c>
      <c r="C33" s="7">
        <v>12</v>
      </c>
      <c r="D33" s="7">
        <v>3</v>
      </c>
      <c r="E33" s="7">
        <v>19.62</v>
      </c>
      <c r="F33" s="7">
        <v>19.59</v>
      </c>
      <c r="G33" s="7">
        <v>19.55</v>
      </c>
      <c r="H33" s="7">
        <f t="shared" si="0"/>
        <v>19.58666666666667</v>
      </c>
      <c r="I33" s="7">
        <f t="shared" si="1"/>
        <v>3.5118845842842555E-2</v>
      </c>
      <c r="J33" s="7" t="s">
        <v>62</v>
      </c>
      <c r="K33" s="7">
        <v>1.9</v>
      </c>
      <c r="L33" s="7">
        <f t="shared" si="2"/>
        <v>288306.12169365562</v>
      </c>
      <c r="M33" s="7">
        <f t="shared" si="3"/>
        <v>3.468535437698983E-6</v>
      </c>
      <c r="N33" s="7">
        <f t="shared" si="4"/>
        <v>3468.5354376989831</v>
      </c>
      <c r="O33" s="7">
        <v>6.9562499999999998</v>
      </c>
      <c r="P33" s="7">
        <f t="shared" si="5"/>
        <v>6.9562499999999997E-6</v>
      </c>
      <c r="Q33" s="7">
        <v>0.96363449365031884</v>
      </c>
      <c r="R33" s="7">
        <f t="shared" si="7"/>
        <v>0.51743835432942065</v>
      </c>
      <c r="S33" s="7">
        <f t="shared" si="6"/>
        <v>-0.28614138300975539</v>
      </c>
      <c r="T33" s="7">
        <v>1.2312948690920575</v>
      </c>
      <c r="U33" s="7">
        <v>-0.28614138300975539</v>
      </c>
      <c r="V33" s="7">
        <v>1.2312948690920575</v>
      </c>
      <c r="W33" s="7" t="s">
        <v>63</v>
      </c>
      <c r="X33" s="7" t="s">
        <v>63</v>
      </c>
      <c r="Y33" s="7" t="s">
        <v>432</v>
      </c>
      <c r="Z33" s="7" t="s">
        <v>433</v>
      </c>
      <c r="AA33" s="7" t="s">
        <v>401</v>
      </c>
      <c r="AB33" s="7" t="s">
        <v>434</v>
      </c>
      <c r="AF33" s="7">
        <v>27</v>
      </c>
      <c r="AG33" s="7">
        <v>12</v>
      </c>
      <c r="AH33" s="7">
        <v>2</v>
      </c>
      <c r="AI33" s="7">
        <v>5.94117783</v>
      </c>
      <c r="AJ33" s="7">
        <v>0.77387254999999999</v>
      </c>
      <c r="AK33" s="6" t="s">
        <v>635</v>
      </c>
      <c r="AL33" s="6">
        <v>48</v>
      </c>
      <c r="AM33" s="6">
        <v>5</v>
      </c>
      <c r="AN33" s="6">
        <f>AVERAGE(AI72:AI74)</f>
        <v>1.9396770366666669</v>
      </c>
      <c r="AP33" s="7">
        <v>27</v>
      </c>
      <c r="AQ33" s="7">
        <v>12</v>
      </c>
      <c r="AR33" s="7">
        <v>3</v>
      </c>
      <c r="AS33" s="7">
        <v>6.6720487759999996</v>
      </c>
      <c r="AT33" s="6" t="s">
        <v>635</v>
      </c>
      <c r="AU33" s="6">
        <v>48</v>
      </c>
      <c r="AV33" s="6">
        <v>6</v>
      </c>
      <c r="AW33" s="7">
        <f>AVERAGE(AS73)</f>
        <v>2.4455645320000001</v>
      </c>
      <c r="AX33" s="7">
        <f>AVERAGE(BB70:BB71)</f>
        <v>16.656666664999999</v>
      </c>
      <c r="AY33" s="7">
        <f t="shared" si="11"/>
        <v>9679.2945502515759</v>
      </c>
      <c r="AZ33" s="7">
        <v>0.7564689930120827</v>
      </c>
      <c r="BA33" s="71">
        <f t="shared" si="12"/>
        <v>12795.36192449989</v>
      </c>
      <c r="BB33" s="6">
        <v>15.12</v>
      </c>
    </row>
    <row r="34" spans="1:54" s="6" customFormat="1">
      <c r="A34" s="6" t="s">
        <v>206</v>
      </c>
      <c r="B34" s="6">
        <v>30</v>
      </c>
      <c r="C34" s="6">
        <v>12</v>
      </c>
      <c r="D34" s="6">
        <v>1</v>
      </c>
      <c r="E34" s="6">
        <v>15.4</v>
      </c>
      <c r="F34" s="6">
        <v>15.39</v>
      </c>
      <c r="G34" s="6">
        <v>15.57</v>
      </c>
      <c r="H34" s="6">
        <f>AVERAGE(E34:G34)</f>
        <v>15.453333333333333</v>
      </c>
      <c r="I34" s="6">
        <f>STDEV(E34:G34)</f>
        <v>0.10115993936995668</v>
      </c>
      <c r="J34" s="6">
        <f>AVERAGE(H27:H53)</f>
        <v>16.100802469135804</v>
      </c>
      <c r="K34" s="6">
        <v>1.98</v>
      </c>
      <c r="L34" s="6">
        <f t="shared" si="2"/>
        <v>38411.925113537756</v>
      </c>
      <c r="M34" s="6">
        <f t="shared" si="3"/>
        <v>2.6033581942175654E-5</v>
      </c>
      <c r="N34" s="7">
        <f t="shared" si="4"/>
        <v>26033.581942175653</v>
      </c>
      <c r="O34" s="6">
        <v>12.81875</v>
      </c>
      <c r="P34" s="6">
        <f t="shared" si="5"/>
        <v>1.281875E-5</v>
      </c>
      <c r="Q34" s="6">
        <v>0.9521398145261829</v>
      </c>
      <c r="R34" s="6">
        <f t="shared" ref="R34:R65" si="13">M34/P34/Q34</f>
        <v>2.1329836323075644</v>
      </c>
      <c r="S34" s="6">
        <f t="shared" si="6"/>
        <v>0.32898752285412647</v>
      </c>
      <c r="T34" s="6">
        <v>0.5855084845413695</v>
      </c>
      <c r="U34" s="6">
        <v>0.32898752285412647</v>
      </c>
      <c r="V34" s="6">
        <v>0.5855084845413695</v>
      </c>
      <c r="AF34" s="7">
        <v>27</v>
      </c>
      <c r="AG34" s="7">
        <v>12</v>
      </c>
      <c r="AH34" s="7">
        <v>3</v>
      </c>
      <c r="AI34" s="7">
        <v>4.6226052199999996</v>
      </c>
      <c r="AJ34" s="7">
        <v>0.66488681000000005</v>
      </c>
      <c r="AK34" s="6" t="s">
        <v>635</v>
      </c>
      <c r="AL34" s="6">
        <v>48</v>
      </c>
      <c r="AM34" s="6">
        <v>6</v>
      </c>
      <c r="AN34" s="6">
        <f>AVERAGE(AI75:AI76)</f>
        <v>2.2166358750000001</v>
      </c>
      <c r="AP34" s="7">
        <v>27</v>
      </c>
      <c r="AQ34" s="7">
        <v>12</v>
      </c>
      <c r="AR34" s="7">
        <v>3</v>
      </c>
      <c r="AS34" s="7">
        <v>17.033145999999999</v>
      </c>
      <c r="BB34" s="6">
        <v>15.123333329999999</v>
      </c>
    </row>
    <row r="35" spans="1:54" s="6" customFormat="1">
      <c r="A35" s="6" t="s">
        <v>207</v>
      </c>
      <c r="B35" s="6">
        <v>30</v>
      </c>
      <c r="C35" s="6">
        <v>12</v>
      </c>
      <c r="D35" s="6">
        <v>1</v>
      </c>
      <c r="E35" s="6">
        <v>15.17</v>
      </c>
      <c r="F35" s="6">
        <v>15.1</v>
      </c>
      <c r="G35" s="6">
        <v>15.09</v>
      </c>
      <c r="H35" s="6">
        <f t="shared" si="0"/>
        <v>15.12</v>
      </c>
      <c r="I35" s="6">
        <f t="shared" si="1"/>
        <v>4.3588989435406823E-2</v>
      </c>
      <c r="J35" s="6" t="s">
        <v>156</v>
      </c>
      <c r="K35" s="6">
        <v>1.98</v>
      </c>
      <c r="L35" s="6">
        <f t="shared" si="2"/>
        <v>30589.873199098936</v>
      </c>
      <c r="M35" s="6">
        <f t="shared" si="3"/>
        <v>3.2690557214518179E-5</v>
      </c>
      <c r="N35" s="7">
        <f t="shared" si="4"/>
        <v>32690.55721451818</v>
      </c>
      <c r="O35" s="6">
        <v>7.3</v>
      </c>
      <c r="P35" s="6">
        <f t="shared" si="5"/>
        <v>7.2999999999999996E-6</v>
      </c>
      <c r="Q35" s="6">
        <v>0.95636809249412824</v>
      </c>
      <c r="R35" s="6">
        <f t="shared" si="13"/>
        <v>4.6824633294258833</v>
      </c>
      <c r="S35" s="6">
        <f t="shared" si="6"/>
        <v>0.67047438489610611</v>
      </c>
      <c r="T35" s="6">
        <v>0.68844645637705459</v>
      </c>
      <c r="U35" s="6">
        <v>0.67047438489610611</v>
      </c>
      <c r="V35" s="6">
        <v>0.68844645637705459</v>
      </c>
      <c r="AF35" s="7">
        <v>27</v>
      </c>
      <c r="AG35" s="7">
        <v>12</v>
      </c>
      <c r="AH35" s="7">
        <v>3</v>
      </c>
      <c r="AI35" s="7">
        <v>5.75744553</v>
      </c>
      <c r="AJ35" s="7">
        <v>0.76022984000000005</v>
      </c>
      <c r="AP35" s="6">
        <v>30</v>
      </c>
      <c r="AQ35" s="6">
        <v>12</v>
      </c>
      <c r="AR35" s="6">
        <v>1</v>
      </c>
      <c r="AS35" s="6">
        <v>3.850423369</v>
      </c>
      <c r="BB35" s="6">
        <v>15.84333333</v>
      </c>
    </row>
    <row r="36" spans="1:54" s="6" customFormat="1">
      <c r="A36" s="6" t="s">
        <v>208</v>
      </c>
      <c r="B36" s="6">
        <v>30</v>
      </c>
      <c r="C36" s="6">
        <v>12</v>
      </c>
      <c r="D36" s="6">
        <v>1</v>
      </c>
      <c r="E36" s="6">
        <v>15.15</v>
      </c>
      <c r="F36" s="6">
        <v>15.12</v>
      </c>
      <c r="G36" s="6">
        <v>15.1</v>
      </c>
      <c r="H36" s="6">
        <f t="shared" si="0"/>
        <v>15.123333333333333</v>
      </c>
      <c r="I36" s="6">
        <f t="shared" si="1"/>
        <v>2.5166114784236238E-2</v>
      </c>
      <c r="J36" s="6">
        <f>AVERAGE(H54:H73)</f>
        <v>16.525416666666665</v>
      </c>
      <c r="K36" s="6">
        <v>1.98</v>
      </c>
      <c r="L36" s="6">
        <f t="shared" si="2"/>
        <v>30659.605378230855</v>
      </c>
      <c r="M36" s="6">
        <f t="shared" si="3"/>
        <v>3.2616205840340887E-5</v>
      </c>
      <c r="N36" s="7">
        <f t="shared" si="4"/>
        <v>32616.205840340888</v>
      </c>
      <c r="O36" s="6">
        <v>12.737500000000001</v>
      </c>
      <c r="P36" s="6">
        <f t="shared" si="5"/>
        <v>1.2737500000000001E-5</v>
      </c>
      <c r="Q36" s="6">
        <v>0.96479626261769347</v>
      </c>
      <c r="R36" s="6">
        <f t="shared" si="13"/>
        <v>2.6540776805750754</v>
      </c>
      <c r="S36" s="6">
        <f t="shared" si="6"/>
        <v>0.42391362981379682</v>
      </c>
      <c r="T36" s="6">
        <v>0.5253988163418517</v>
      </c>
      <c r="U36" s="6">
        <v>0.42391362981379682</v>
      </c>
      <c r="V36" s="6">
        <v>0.5253988163418517</v>
      </c>
      <c r="AF36" s="7">
        <v>27</v>
      </c>
      <c r="AG36" s="7">
        <v>12</v>
      </c>
      <c r="AH36" s="7">
        <v>3</v>
      </c>
      <c r="AI36" s="7">
        <v>0.51743835000000005</v>
      </c>
      <c r="AJ36" s="7">
        <v>-0.28614139999999999</v>
      </c>
      <c r="AP36" s="6">
        <v>30</v>
      </c>
      <c r="AQ36" s="6">
        <v>12</v>
      </c>
      <c r="AR36" s="6">
        <v>1</v>
      </c>
      <c r="AS36" s="6">
        <v>4.8802992889999999</v>
      </c>
      <c r="BB36" s="6">
        <v>15.80666667</v>
      </c>
    </row>
    <row r="37" spans="1:54" s="6" customFormat="1">
      <c r="A37" s="6" t="s">
        <v>209</v>
      </c>
      <c r="B37" s="6">
        <v>30</v>
      </c>
      <c r="C37" s="6">
        <v>12</v>
      </c>
      <c r="D37" s="6">
        <v>2</v>
      </c>
      <c r="E37" s="6">
        <v>15.87</v>
      </c>
      <c r="F37" s="6">
        <v>15.83</v>
      </c>
      <c r="G37" s="6">
        <v>15.83</v>
      </c>
      <c r="H37" s="6">
        <f>AVERAGE(E37:G37)</f>
        <v>15.843333333333334</v>
      </c>
      <c r="I37" s="6">
        <f>STDEV(E37:G37)</f>
        <v>2.3094010767584539E-2</v>
      </c>
      <c r="J37" s="6" t="s">
        <v>28</v>
      </c>
      <c r="K37" s="6">
        <v>1.98</v>
      </c>
      <c r="L37" s="6">
        <f t="shared" si="2"/>
        <v>50137.825872453592</v>
      </c>
      <c r="M37" s="6">
        <f t="shared" si="3"/>
        <v>1.9945021201037233E-5</v>
      </c>
      <c r="N37" s="7">
        <f t="shared" si="4"/>
        <v>19945.021201037234</v>
      </c>
      <c r="O37" s="6">
        <v>3.7062499999999998</v>
      </c>
      <c r="P37" s="6">
        <f t="shared" si="5"/>
        <v>3.7062499999999999E-6</v>
      </c>
      <c r="Q37" s="6">
        <v>0.97033887092088644</v>
      </c>
      <c r="R37" s="6">
        <f t="shared" si="13"/>
        <v>5.5459552683808448</v>
      </c>
      <c r="S37" s="6">
        <f t="shared" si="6"/>
        <v>0.74397636239768317</v>
      </c>
      <c r="T37" s="6">
        <v>1.1272483579894077</v>
      </c>
      <c r="U37" s="6">
        <v>0.74397636239768317</v>
      </c>
      <c r="V37" s="6">
        <v>1.1272483579894077</v>
      </c>
      <c r="AF37" s="6">
        <v>30</v>
      </c>
      <c r="AG37" s="6">
        <v>12</v>
      </c>
      <c r="AH37" s="6">
        <v>1</v>
      </c>
      <c r="AI37" s="6">
        <v>2.13298363</v>
      </c>
      <c r="AJ37" s="6">
        <v>0.32898751999999998</v>
      </c>
      <c r="AP37" s="6">
        <v>30</v>
      </c>
      <c r="AQ37" s="6">
        <v>12</v>
      </c>
      <c r="AR37" s="6">
        <v>1</v>
      </c>
      <c r="AS37" s="6">
        <v>3.3527318209999999</v>
      </c>
      <c r="BB37" s="6">
        <v>14.51</v>
      </c>
    </row>
    <row r="38" spans="1:54" s="6" customFormat="1">
      <c r="A38" s="6" t="s">
        <v>210</v>
      </c>
      <c r="B38" s="6">
        <v>30</v>
      </c>
      <c r="C38" s="6">
        <v>12</v>
      </c>
      <c r="D38" s="6">
        <v>2</v>
      </c>
      <c r="E38" s="6">
        <v>15.8</v>
      </c>
      <c r="F38" s="6">
        <v>15.79</v>
      </c>
      <c r="G38" s="6">
        <v>15.83</v>
      </c>
      <c r="H38" s="6">
        <f>AVERAGE(E38:G38)</f>
        <v>15.806666666666667</v>
      </c>
      <c r="I38" s="6">
        <f>STDEV(E38:G38)</f>
        <v>2.0816659994661594E-2</v>
      </c>
      <c r="J38" s="6" t="s">
        <v>9</v>
      </c>
      <c r="K38" s="6">
        <v>1.98</v>
      </c>
      <c r="L38" s="6">
        <f t="shared" si="2"/>
        <v>48897.625955958538</v>
      </c>
      <c r="M38" s="6">
        <f t="shared" si="3"/>
        <v>2.0450890619939037E-5</v>
      </c>
      <c r="N38" s="7">
        <f t="shared" si="4"/>
        <v>20450.890619939037</v>
      </c>
      <c r="O38" s="6">
        <v>12.112500000000001</v>
      </c>
      <c r="P38" s="6">
        <f t="shared" si="5"/>
        <v>1.2112500000000001E-5</v>
      </c>
      <c r="Q38" s="6">
        <v>0.97604586159382645</v>
      </c>
      <c r="R38" s="6">
        <f t="shared" si="13"/>
        <v>1.7298490662405035</v>
      </c>
      <c r="S38" s="6">
        <f t="shared" si="6"/>
        <v>0.23800821147648987</v>
      </c>
      <c r="T38" s="6">
        <v>0.45149272695276876</v>
      </c>
      <c r="U38" s="6">
        <v>0.23800821147648987</v>
      </c>
      <c r="V38" s="6">
        <v>0.45149272695276876</v>
      </c>
      <c r="AF38" s="6">
        <v>30</v>
      </c>
      <c r="AG38" s="6">
        <v>12</v>
      </c>
      <c r="AH38" s="6">
        <v>1</v>
      </c>
      <c r="AI38" s="6">
        <v>4.68246333</v>
      </c>
      <c r="AJ38" s="6">
        <v>0.67047438000000004</v>
      </c>
      <c r="AP38" s="6">
        <v>30</v>
      </c>
      <c r="AQ38" s="6">
        <v>12</v>
      </c>
      <c r="AR38" s="6">
        <v>2</v>
      </c>
      <c r="AS38" s="6">
        <v>13.404430209999999</v>
      </c>
      <c r="AW38" s="6">
        <f>AVERAGE(AW10:AW33)</f>
        <v>13.498579457611115</v>
      </c>
      <c r="BB38" s="6">
        <v>14.696666670000001</v>
      </c>
    </row>
    <row r="39" spans="1:54" s="6" customFormat="1">
      <c r="A39" s="6" t="s">
        <v>211</v>
      </c>
      <c r="B39" s="6">
        <v>30</v>
      </c>
      <c r="C39" s="6">
        <v>12</v>
      </c>
      <c r="D39" s="6">
        <v>2</v>
      </c>
      <c r="E39" s="6">
        <v>14.55</v>
      </c>
      <c r="F39" s="6">
        <v>14.57</v>
      </c>
      <c r="G39" s="6">
        <v>14.41</v>
      </c>
      <c r="H39" s="6">
        <f t="shared" si="0"/>
        <v>14.51</v>
      </c>
      <c r="I39" s="6">
        <f t="shared" si="1"/>
        <v>8.7177978870813647E-2</v>
      </c>
      <c r="J39" s="6">
        <f>AVERAGE(20.63,20.53,20.51)</f>
        <v>20.556666666666668</v>
      </c>
      <c r="K39" s="6">
        <v>1.9</v>
      </c>
      <c r="L39" s="6">
        <f t="shared" si="2"/>
        <v>11084.465342452184</v>
      </c>
      <c r="M39" s="6">
        <f t="shared" si="3"/>
        <v>9.0216349558162179E-5</v>
      </c>
      <c r="N39" s="7">
        <f t="shared" si="4"/>
        <v>90216.349558162183</v>
      </c>
      <c r="O39" s="6">
        <v>10.4375</v>
      </c>
      <c r="P39" s="6">
        <f t="shared" si="5"/>
        <v>1.04375E-5</v>
      </c>
      <c r="Q39" s="6">
        <v>0.96263517561147782</v>
      </c>
      <c r="R39" s="6">
        <f t="shared" si="13"/>
        <v>8.9789806267034908</v>
      </c>
      <c r="S39" s="6">
        <f t="shared" si="6"/>
        <v>0.95322703451509971</v>
      </c>
      <c r="T39" s="6">
        <v>0.87701374533717169</v>
      </c>
      <c r="U39" s="6">
        <v>0.95322703451509971</v>
      </c>
      <c r="V39" s="6">
        <v>0.87701374533717169</v>
      </c>
      <c r="AF39" s="6">
        <v>30</v>
      </c>
      <c r="AG39" s="6">
        <v>12</v>
      </c>
      <c r="AH39" s="6">
        <v>1</v>
      </c>
      <c r="AI39" s="6">
        <v>2.6540776799999999</v>
      </c>
      <c r="AJ39" s="6">
        <v>0.42391362999999999</v>
      </c>
      <c r="AP39" s="6">
        <v>30</v>
      </c>
      <c r="AQ39" s="6">
        <v>12</v>
      </c>
      <c r="AR39" s="6">
        <v>2</v>
      </c>
      <c r="AS39" s="6">
        <v>2.8280867490000001</v>
      </c>
      <c r="BB39" s="6">
        <v>15.116666670000001</v>
      </c>
    </row>
    <row r="40" spans="1:54" s="6" customFormat="1">
      <c r="A40" s="6" t="s">
        <v>212</v>
      </c>
      <c r="B40" s="6">
        <v>30</v>
      </c>
      <c r="C40" s="6">
        <v>12</v>
      </c>
      <c r="D40" s="6">
        <v>3</v>
      </c>
      <c r="E40" s="6">
        <v>14.79</v>
      </c>
      <c r="F40" s="6">
        <v>14.68</v>
      </c>
      <c r="G40" s="6">
        <v>14.62</v>
      </c>
      <c r="H40" s="6">
        <f t="shared" si="0"/>
        <v>14.696666666666665</v>
      </c>
      <c r="I40" s="6">
        <f t="shared" si="1"/>
        <v>8.6216781042516996E-2</v>
      </c>
      <c r="J40" s="6" t="s">
        <v>238</v>
      </c>
      <c r="K40" s="6">
        <v>1.9</v>
      </c>
      <c r="L40" s="6">
        <f t="shared" si="2"/>
        <v>12495.359492709325</v>
      </c>
      <c r="M40" s="6">
        <f t="shared" si="3"/>
        <v>8.0029710276320631E-5</v>
      </c>
      <c r="N40" s="7">
        <f t="shared" si="4"/>
        <v>80029.710276320635</v>
      </c>
      <c r="O40" s="6">
        <v>4.1124999999999998</v>
      </c>
      <c r="P40" s="6">
        <f t="shared" si="5"/>
        <v>4.1125E-6</v>
      </c>
      <c r="Q40" s="6">
        <v>0.97602755727759216</v>
      </c>
      <c r="R40" s="6">
        <f t="shared" si="13"/>
        <v>19.938076313719403</v>
      </c>
      <c r="S40" s="6">
        <f t="shared" si="6"/>
        <v>1.2996832539436167</v>
      </c>
      <c r="T40" s="6">
        <v>1.4172148384492818</v>
      </c>
      <c r="U40" s="6">
        <v>1.2996832539436167</v>
      </c>
      <c r="V40" s="6">
        <v>1.4172148384492818</v>
      </c>
      <c r="AF40" s="6">
        <v>30</v>
      </c>
      <c r="AG40" s="6">
        <v>12</v>
      </c>
      <c r="AH40" s="6">
        <v>2</v>
      </c>
      <c r="AI40" s="6">
        <v>5.5459552700000003</v>
      </c>
      <c r="AJ40" s="6">
        <v>0.74397636</v>
      </c>
      <c r="AP40" s="6">
        <v>30</v>
      </c>
      <c r="AQ40" s="6">
        <v>12</v>
      </c>
      <c r="AR40" s="6">
        <v>2</v>
      </c>
      <c r="AS40" s="6">
        <v>7.5337940769999996</v>
      </c>
      <c r="BB40" s="7">
        <v>16.754999999999999</v>
      </c>
    </row>
    <row r="41" spans="1:54" s="6" customFormat="1">
      <c r="A41" s="6" t="s">
        <v>14</v>
      </c>
      <c r="B41" s="6">
        <v>30</v>
      </c>
      <c r="C41" s="6">
        <v>12</v>
      </c>
      <c r="D41" s="6">
        <v>3</v>
      </c>
      <c r="E41" s="6">
        <v>15.07</v>
      </c>
      <c r="F41" s="6">
        <v>15.2</v>
      </c>
      <c r="G41" s="6">
        <v>15.08</v>
      </c>
      <c r="H41" s="6">
        <f t="shared" si="0"/>
        <v>15.116666666666667</v>
      </c>
      <c r="I41" s="6">
        <f t="shared" si="1"/>
        <v>7.2341781380701839E-2</v>
      </c>
      <c r="J41" s="6" t="s">
        <v>129</v>
      </c>
      <c r="K41" s="6">
        <v>1.9</v>
      </c>
      <c r="L41" s="6">
        <f t="shared" si="2"/>
        <v>16361.581038340368</v>
      </c>
      <c r="M41" s="6">
        <f t="shared" si="3"/>
        <v>6.111878782720833E-5</v>
      </c>
      <c r="N41" s="7">
        <f t="shared" si="4"/>
        <v>61118.787827208333</v>
      </c>
      <c r="O41" s="6">
        <v>8.2062500000000007</v>
      </c>
      <c r="P41" s="6">
        <f t="shared" si="5"/>
        <v>8.2062500000000013E-6</v>
      </c>
      <c r="Q41" s="6">
        <v>0.94101328098348946</v>
      </c>
      <c r="R41" s="6">
        <f t="shared" si="13"/>
        <v>7.9146959542390602</v>
      </c>
      <c r="S41" s="6">
        <f t="shared" si="6"/>
        <v>0.89843423594727245</v>
      </c>
      <c r="T41" s="6">
        <v>1.3158710983794437</v>
      </c>
      <c r="U41" s="6">
        <v>0.89843423594727245</v>
      </c>
      <c r="V41" s="6">
        <v>1.3158710983794437</v>
      </c>
      <c r="AF41" s="6">
        <v>30</v>
      </c>
      <c r="AG41" s="6">
        <v>12</v>
      </c>
      <c r="AH41" s="6">
        <v>2</v>
      </c>
      <c r="AI41" s="6">
        <v>1.72984907</v>
      </c>
      <c r="AJ41" s="6">
        <v>0.23800821</v>
      </c>
      <c r="AP41" s="6">
        <v>30</v>
      </c>
      <c r="AQ41" s="6">
        <v>12</v>
      </c>
      <c r="AR41" s="6">
        <v>3</v>
      </c>
      <c r="AS41" s="6">
        <v>26.134538679999999</v>
      </c>
      <c r="BB41" s="7">
        <v>15.50333333</v>
      </c>
    </row>
    <row r="42" spans="1:54" s="7" customFormat="1">
      <c r="A42" s="7" t="s">
        <v>77</v>
      </c>
      <c r="B42" s="7">
        <v>27</v>
      </c>
      <c r="C42" s="7">
        <v>24</v>
      </c>
      <c r="D42" s="7">
        <v>1</v>
      </c>
      <c r="E42" s="7">
        <v>16.86</v>
      </c>
      <c r="F42" s="7" t="s">
        <v>227</v>
      </c>
      <c r="G42" s="7">
        <v>16.649999999999999</v>
      </c>
      <c r="H42" s="7">
        <f t="shared" si="0"/>
        <v>16.754999999999999</v>
      </c>
      <c r="I42" s="7">
        <f t="shared" si="1"/>
        <v>0.14849242404917559</v>
      </c>
      <c r="J42" s="7">
        <f>AVERAGE(27.46,27.77,28.02)</f>
        <v>27.75</v>
      </c>
      <c r="K42" s="7">
        <v>1.9</v>
      </c>
      <c r="L42" s="7">
        <f t="shared" si="2"/>
        <v>46829.18332193383</v>
      </c>
      <c r="M42" s="7">
        <f t="shared" si="3"/>
        <v>2.135420541343544E-5</v>
      </c>
      <c r="N42" s="7">
        <f t="shared" si="4"/>
        <v>21354.20541343544</v>
      </c>
      <c r="O42" s="7">
        <v>3.5750000000000002</v>
      </c>
      <c r="P42" s="7">
        <f t="shared" si="5"/>
        <v>3.5750000000000001E-6</v>
      </c>
      <c r="Q42" s="7">
        <v>0.97310955526633147</v>
      </c>
      <c r="R42" s="7">
        <f t="shared" si="13"/>
        <v>6.1382649868396983</v>
      </c>
      <c r="S42" s="7">
        <f t="shared" si="6"/>
        <v>0.78804563284754536</v>
      </c>
      <c r="T42" s="7">
        <v>1.4561956870458859</v>
      </c>
      <c r="U42" s="7">
        <v>0.78804563284754536</v>
      </c>
      <c r="V42" s="7">
        <v>1.4561956870458859</v>
      </c>
      <c r="AF42" s="6">
        <v>30</v>
      </c>
      <c r="AG42" s="6">
        <v>12</v>
      </c>
      <c r="AH42" s="6">
        <v>2</v>
      </c>
      <c r="AI42" s="6">
        <v>8.9789806300000006</v>
      </c>
      <c r="AJ42" s="6">
        <v>0.95322702999999998</v>
      </c>
      <c r="AP42" s="6">
        <v>30</v>
      </c>
      <c r="AQ42" s="6">
        <v>12</v>
      </c>
      <c r="AR42" s="6">
        <v>3</v>
      </c>
      <c r="AS42" s="6">
        <v>20.69527008</v>
      </c>
      <c r="BB42" s="7">
        <v>16.063333329999999</v>
      </c>
    </row>
    <row r="43" spans="1:54" s="7" customFormat="1">
      <c r="A43" s="7" t="s">
        <v>78</v>
      </c>
      <c r="B43" s="7">
        <v>27</v>
      </c>
      <c r="C43" s="7">
        <v>24</v>
      </c>
      <c r="D43" s="7">
        <v>1</v>
      </c>
      <c r="E43" s="7">
        <v>15.55</v>
      </c>
      <c r="F43" s="7">
        <v>15.47</v>
      </c>
      <c r="G43" s="7">
        <v>15.49</v>
      </c>
      <c r="H43" s="7">
        <f t="shared" si="0"/>
        <v>15.503333333333336</v>
      </c>
      <c r="I43" s="7">
        <f t="shared" si="1"/>
        <v>4.1633319989322765E-2</v>
      </c>
      <c r="K43" s="7">
        <f>AVERAGE(K41:K42)</f>
        <v>1.9</v>
      </c>
      <c r="L43" s="7">
        <f t="shared" si="2"/>
        <v>20970.558328022034</v>
      </c>
      <c r="M43" s="7">
        <f t="shared" si="3"/>
        <v>4.7685902509507532E-5</v>
      </c>
      <c r="N43" s="7">
        <f t="shared" si="4"/>
        <v>47685.902509507534</v>
      </c>
      <c r="O43" s="7">
        <v>9.3187499999999996</v>
      </c>
      <c r="P43" s="7">
        <f t="shared" si="5"/>
        <v>9.3187499999999995E-6</v>
      </c>
      <c r="Q43" s="7">
        <v>0.96588646050486415</v>
      </c>
      <c r="R43" s="7">
        <f t="shared" si="13"/>
        <v>5.2979306302656672</v>
      </c>
      <c r="S43" s="7">
        <f t="shared" si="6"/>
        <v>0.72410626745874562</v>
      </c>
      <c r="T43" s="7">
        <v>1.0199285300627188</v>
      </c>
      <c r="U43" s="7">
        <v>0.72410626745874562</v>
      </c>
      <c r="V43" s="7">
        <v>1.0199285300627188</v>
      </c>
      <c r="AF43" s="6">
        <v>30</v>
      </c>
      <c r="AG43" s="6">
        <v>12</v>
      </c>
      <c r="AH43" s="6">
        <v>3</v>
      </c>
      <c r="AI43" s="6">
        <v>19.938076299999999</v>
      </c>
      <c r="AJ43" s="6">
        <v>1.29968325</v>
      </c>
      <c r="AP43" s="7">
        <v>27</v>
      </c>
      <c r="AQ43" s="7">
        <v>24</v>
      </c>
      <c r="AR43" s="7">
        <v>1</v>
      </c>
      <c r="AS43" s="7">
        <v>28.588784239999999</v>
      </c>
      <c r="BB43" s="7">
        <v>17.63</v>
      </c>
    </row>
    <row r="44" spans="1:54" s="7" customFormat="1">
      <c r="A44" s="7" t="s">
        <v>79</v>
      </c>
      <c r="B44" s="7">
        <v>27</v>
      </c>
      <c r="C44" s="7">
        <v>24</v>
      </c>
      <c r="D44" s="7">
        <v>1</v>
      </c>
      <c r="E44" s="7">
        <v>16.2</v>
      </c>
      <c r="F44" s="7">
        <v>15.98</v>
      </c>
      <c r="G44" s="7">
        <v>16.010000000000002</v>
      </c>
      <c r="H44" s="7">
        <f t="shared" si="0"/>
        <v>16.063333333333333</v>
      </c>
      <c r="I44" s="7">
        <f t="shared" si="1"/>
        <v>0.11930353445448763</v>
      </c>
      <c r="K44" s="7">
        <v>1.9</v>
      </c>
      <c r="L44" s="7">
        <f t="shared" si="2"/>
        <v>30040.83569451909</v>
      </c>
      <c r="M44" s="7">
        <f t="shared" si="3"/>
        <v>3.3288022016726011E-5</v>
      </c>
      <c r="N44" s="7">
        <f t="shared" si="4"/>
        <v>33288.022016726012</v>
      </c>
      <c r="O44" s="7">
        <v>6.375</v>
      </c>
      <c r="P44" s="7">
        <f t="shared" si="5"/>
        <v>6.3749999999999999E-6</v>
      </c>
      <c r="Q44" s="7">
        <v>0.95407600659221026</v>
      </c>
      <c r="R44" s="7">
        <f t="shared" si="13"/>
        <v>5.4729921687040601</v>
      </c>
      <c r="S44" s="7">
        <f t="shared" si="6"/>
        <v>0.73822482671165435</v>
      </c>
      <c r="T44" s="7">
        <v>1.2084447003473275</v>
      </c>
      <c r="U44" s="7">
        <v>0.73822482671165435</v>
      </c>
      <c r="V44" s="7">
        <v>1.2084447003473275</v>
      </c>
      <c r="AF44" s="6">
        <v>30</v>
      </c>
      <c r="AG44" s="6">
        <v>12</v>
      </c>
      <c r="AH44" s="6">
        <v>3</v>
      </c>
      <c r="AI44" s="6">
        <v>7.9146959499999996</v>
      </c>
      <c r="AJ44" s="6">
        <v>0.89843424000000005</v>
      </c>
      <c r="AP44" s="7">
        <v>27</v>
      </c>
      <c r="AQ44" s="7">
        <v>24</v>
      </c>
      <c r="AR44" s="7">
        <v>1</v>
      </c>
      <c r="AS44" s="7">
        <v>10.46956241</v>
      </c>
      <c r="BB44" s="7">
        <v>16.41</v>
      </c>
    </row>
    <row r="45" spans="1:54" s="7" customFormat="1">
      <c r="A45" s="7" t="s">
        <v>80</v>
      </c>
      <c r="B45" s="7">
        <v>27</v>
      </c>
      <c r="C45" s="7">
        <v>24</v>
      </c>
      <c r="D45" s="7">
        <v>2</v>
      </c>
      <c r="E45" s="7" t="s">
        <v>227</v>
      </c>
      <c r="F45" s="7">
        <v>17.66</v>
      </c>
      <c r="G45" s="7">
        <v>17.600000000000001</v>
      </c>
      <c r="H45" s="7">
        <f>AVERAGE(F45:G45)</f>
        <v>17.630000000000003</v>
      </c>
      <c r="I45" s="7">
        <f>STDEV(F45:G45)</f>
        <v>4.2426406871191945E-2</v>
      </c>
      <c r="K45" s="26">
        <v>1.9</v>
      </c>
      <c r="L45" s="7">
        <f t="shared" si="2"/>
        <v>82115.659422857178</v>
      </c>
      <c r="M45" s="7">
        <f t="shared" si="3"/>
        <v>1.217794519374762E-5</v>
      </c>
      <c r="N45" s="7">
        <f t="shared" si="4"/>
        <v>12177.945193747621</v>
      </c>
      <c r="O45" s="7">
        <v>5.03125</v>
      </c>
      <c r="P45" s="7">
        <f t="shared" si="5"/>
        <v>5.0312500000000003E-6</v>
      </c>
      <c r="Q45" s="7">
        <v>0.94962110901439911</v>
      </c>
      <c r="R45" s="7">
        <f t="shared" si="13"/>
        <v>2.5488704216289322</v>
      </c>
      <c r="S45" s="7">
        <f t="shared" si="6"/>
        <v>0.4063477575555951</v>
      </c>
      <c r="T45" s="7">
        <v>0.65133274845721056</v>
      </c>
      <c r="U45" s="7">
        <v>0.4063477575555951</v>
      </c>
      <c r="V45" s="7">
        <v>0.65133274845721056</v>
      </c>
      <c r="AF45" s="7">
        <v>27</v>
      </c>
      <c r="AG45" s="7">
        <v>24</v>
      </c>
      <c r="AH45" s="7">
        <v>1</v>
      </c>
      <c r="AI45" s="7">
        <v>6.1382649899999997</v>
      </c>
      <c r="AJ45" s="7">
        <v>0.78804563000000005</v>
      </c>
      <c r="AP45" s="7">
        <v>27</v>
      </c>
      <c r="AQ45" s="7">
        <v>24</v>
      </c>
      <c r="AR45" s="7">
        <v>1</v>
      </c>
      <c r="AS45" s="7">
        <v>16.16012443</v>
      </c>
      <c r="BB45" s="7">
        <v>16.81666667</v>
      </c>
    </row>
    <row r="46" spans="1:54" s="7" customFormat="1">
      <c r="A46" s="7" t="s">
        <v>81</v>
      </c>
      <c r="B46" s="7">
        <v>27</v>
      </c>
      <c r="C46" s="7">
        <v>24</v>
      </c>
      <c r="D46" s="7">
        <v>2</v>
      </c>
      <c r="E46" s="7">
        <v>16.53</v>
      </c>
      <c r="F46" s="7">
        <v>16.36</v>
      </c>
      <c r="G46" s="7">
        <v>16.34</v>
      </c>
      <c r="H46" s="7">
        <f t="shared" si="0"/>
        <v>16.41</v>
      </c>
      <c r="I46" s="7">
        <f t="shared" si="1"/>
        <v>0.10440306508910634</v>
      </c>
      <c r="J46" s="7" t="s">
        <v>246</v>
      </c>
      <c r="K46" s="7">
        <v>1.9</v>
      </c>
      <c r="L46" s="7">
        <f t="shared" si="2"/>
        <v>37527.237141598343</v>
      </c>
      <c r="M46" s="7">
        <f t="shared" si="3"/>
        <v>2.6647312090330146E-5</v>
      </c>
      <c r="N46" s="7">
        <f t="shared" si="4"/>
        <v>26647.312090330146</v>
      </c>
      <c r="O46" s="7">
        <v>3.3125</v>
      </c>
      <c r="P46" s="7">
        <f t="shared" si="5"/>
        <v>3.3125E-6</v>
      </c>
      <c r="Q46" s="7">
        <v>0.92743951828861027</v>
      </c>
      <c r="R46" s="7">
        <f t="shared" si="13"/>
        <v>8.6738503328859942</v>
      </c>
      <c r="S46" s="7">
        <f t="shared" si="6"/>
        <v>0.93821192413479571</v>
      </c>
      <c r="T46" s="7">
        <v>1.1104199040059999</v>
      </c>
      <c r="U46" s="7">
        <v>0.93821192413479571</v>
      </c>
      <c r="V46" s="7">
        <v>1.1104199040059999</v>
      </c>
      <c r="AF46" s="7">
        <v>27</v>
      </c>
      <c r="AG46" s="7">
        <v>24</v>
      </c>
      <c r="AH46" s="7">
        <v>1</v>
      </c>
      <c r="AI46" s="7">
        <v>5.2979306299999998</v>
      </c>
      <c r="AJ46" s="7">
        <v>0.72410627000000005</v>
      </c>
      <c r="AP46" s="7">
        <v>27</v>
      </c>
      <c r="AQ46" s="7">
        <v>24</v>
      </c>
      <c r="AR46" s="7">
        <v>2</v>
      </c>
      <c r="AS46" s="7">
        <v>4.4805646530000001</v>
      </c>
      <c r="BB46" s="7">
        <v>15.59</v>
      </c>
    </row>
    <row r="47" spans="1:54" s="7" customFormat="1">
      <c r="A47" s="7" t="s">
        <v>82</v>
      </c>
      <c r="B47" s="7">
        <v>27</v>
      </c>
      <c r="C47" s="7">
        <v>24</v>
      </c>
      <c r="D47" s="7">
        <v>2</v>
      </c>
      <c r="E47" s="7">
        <v>16.86</v>
      </c>
      <c r="F47" s="7">
        <v>16.850000000000001</v>
      </c>
      <c r="G47" s="7">
        <v>16.739999999999998</v>
      </c>
      <c r="H47" s="7">
        <f t="shared" si="0"/>
        <v>16.816666666666666</v>
      </c>
      <c r="I47" s="7">
        <f t="shared" si="1"/>
        <v>6.6583281184794993E-2</v>
      </c>
      <c r="J47" s="7" t="s">
        <v>61</v>
      </c>
      <c r="K47" s="7">
        <v>1.9</v>
      </c>
      <c r="L47" s="7">
        <f t="shared" si="2"/>
        <v>48719.900128097011</v>
      </c>
      <c r="M47" s="7">
        <f t="shared" si="3"/>
        <v>2.0525493635470222E-5</v>
      </c>
      <c r="N47" s="7">
        <f t="shared" si="4"/>
        <v>20525.493635470222</v>
      </c>
      <c r="O47" s="7">
        <v>5.7562499999999996</v>
      </c>
      <c r="P47" s="7">
        <f t="shared" si="5"/>
        <v>5.7562499999999993E-6</v>
      </c>
      <c r="Q47" s="7">
        <v>0.96832430561252514</v>
      </c>
      <c r="R47" s="7">
        <f t="shared" si="13"/>
        <v>3.6824183837330255</v>
      </c>
      <c r="S47" s="7">
        <f t="shared" si="6"/>
        <v>0.5661331300191681</v>
      </c>
      <c r="T47" s="7">
        <v>0.79922536758855345</v>
      </c>
      <c r="U47" s="7">
        <v>0.5661331300191681</v>
      </c>
      <c r="V47" s="7">
        <v>0.79922536758855345</v>
      </c>
      <c r="AF47" s="7">
        <v>27</v>
      </c>
      <c r="AG47" s="7">
        <v>24</v>
      </c>
      <c r="AH47" s="7">
        <v>1</v>
      </c>
      <c r="AI47" s="7">
        <v>5.4729921700000004</v>
      </c>
      <c r="AJ47" s="7">
        <v>0.73822483000000005</v>
      </c>
      <c r="AP47" s="7">
        <v>27</v>
      </c>
      <c r="AQ47" s="7">
        <v>24</v>
      </c>
      <c r="AR47" s="7">
        <v>2</v>
      </c>
      <c r="AS47" s="7">
        <v>12.89495717</v>
      </c>
      <c r="BB47" s="7">
        <v>16.00333333</v>
      </c>
    </row>
    <row r="48" spans="1:54" s="7" customFormat="1">
      <c r="A48" s="7" t="s">
        <v>10</v>
      </c>
      <c r="B48" s="7">
        <v>27</v>
      </c>
      <c r="C48" s="7">
        <v>24</v>
      </c>
      <c r="D48" s="7">
        <v>3</v>
      </c>
      <c r="E48" s="7">
        <v>15.68</v>
      </c>
      <c r="F48" s="7">
        <v>15.51</v>
      </c>
      <c r="G48" s="7">
        <v>15.58</v>
      </c>
      <c r="H48" s="7">
        <f t="shared" si="0"/>
        <v>15.589999999999998</v>
      </c>
      <c r="I48" s="7">
        <f t="shared" si="1"/>
        <v>8.5440037453175258E-2</v>
      </c>
      <c r="K48" s="7">
        <v>1.9</v>
      </c>
      <c r="L48" s="7">
        <f t="shared" si="2"/>
        <v>22170.150375568974</v>
      </c>
      <c r="M48" s="7">
        <f t="shared" si="3"/>
        <v>4.5105693153167713E-5</v>
      </c>
      <c r="N48" s="7">
        <f t="shared" si="4"/>
        <v>45105.693153167711</v>
      </c>
      <c r="O48" s="7">
        <v>8.25</v>
      </c>
      <c r="P48" s="7">
        <f t="shared" si="5"/>
        <v>8.2500000000000006E-6</v>
      </c>
      <c r="Q48" s="7">
        <v>0.97064229458353513</v>
      </c>
      <c r="R48" s="7">
        <f t="shared" si="13"/>
        <v>5.632720494818682</v>
      </c>
      <c r="S48" s="7">
        <f t="shared" si="6"/>
        <v>0.75071820133838851</v>
      </c>
      <c r="T48" s="7">
        <v>0.65754624369452941</v>
      </c>
      <c r="U48" s="7">
        <v>0.75071820133838851</v>
      </c>
      <c r="V48" s="7">
        <v>0.65754624369452941</v>
      </c>
      <c r="AF48" s="7">
        <v>27</v>
      </c>
      <c r="AG48" s="7">
        <v>24</v>
      </c>
      <c r="AH48" s="7">
        <v>2</v>
      </c>
      <c r="AI48" s="7">
        <v>2.5488704200000001</v>
      </c>
      <c r="AJ48" s="7">
        <v>0.40634776</v>
      </c>
      <c r="AP48" s="7">
        <v>27</v>
      </c>
      <c r="AQ48" s="7">
        <v>24</v>
      </c>
      <c r="AR48" s="7">
        <v>2</v>
      </c>
      <c r="AS48" s="7">
        <v>6.2983293600000003</v>
      </c>
      <c r="BB48" s="7">
        <v>18.09</v>
      </c>
    </row>
    <row r="49" spans="1:54" s="7" customFormat="1">
      <c r="A49" s="7" t="s">
        <v>148</v>
      </c>
      <c r="B49" s="7">
        <v>27</v>
      </c>
      <c r="C49" s="7">
        <v>24</v>
      </c>
      <c r="D49" s="7">
        <v>3</v>
      </c>
      <c r="E49" s="7">
        <v>16.02</v>
      </c>
      <c r="F49" s="7">
        <v>15.99</v>
      </c>
      <c r="G49" s="7">
        <v>16</v>
      </c>
      <c r="H49" s="7">
        <f>AVERAGE(E49:G49)</f>
        <v>16.003333333333334</v>
      </c>
      <c r="I49" s="7">
        <f>STDEV(E49:G49)</f>
        <v>1.527525231651914E-2</v>
      </c>
      <c r="J49" s="7" t="s">
        <v>243</v>
      </c>
      <c r="K49" s="7">
        <v>1.98</v>
      </c>
      <c r="L49" s="7">
        <f t="shared" si="2"/>
        <v>55928.339852761441</v>
      </c>
      <c r="M49" s="7">
        <f t="shared" si="3"/>
        <v>1.7880022947804794E-5</v>
      </c>
      <c r="N49" s="7">
        <f t="shared" si="4"/>
        <v>17880.022947804795</v>
      </c>
      <c r="O49" s="7">
        <v>9.3874999999999993</v>
      </c>
      <c r="P49" s="7">
        <f t="shared" si="5"/>
        <v>9.3874999999999995E-6</v>
      </c>
      <c r="Q49" s="7">
        <v>0.97520323778659213</v>
      </c>
      <c r="R49" s="7">
        <f t="shared" si="13"/>
        <v>1.9530932870559254</v>
      </c>
      <c r="S49" s="7">
        <f t="shared" si="6"/>
        <v>0.29072298731553203</v>
      </c>
      <c r="T49" s="7">
        <v>0.49882304225757979</v>
      </c>
      <c r="U49" s="7">
        <v>0.29072298731553203</v>
      </c>
      <c r="V49" s="7">
        <v>0.49882304225757979</v>
      </c>
      <c r="AF49" s="7">
        <v>27</v>
      </c>
      <c r="AG49" s="7">
        <v>24</v>
      </c>
      <c r="AH49" s="7">
        <v>2</v>
      </c>
      <c r="AI49" s="7">
        <v>8.6738503300000005</v>
      </c>
      <c r="AJ49" s="7">
        <v>0.93821191999999998</v>
      </c>
      <c r="AP49" s="7">
        <v>27</v>
      </c>
      <c r="AQ49" s="7">
        <v>24</v>
      </c>
      <c r="AR49" s="7">
        <v>3</v>
      </c>
      <c r="AS49" s="7">
        <v>4.5451293120000003</v>
      </c>
      <c r="BB49" s="6">
        <v>16.15666667</v>
      </c>
    </row>
    <row r="50" spans="1:54" s="7" customFormat="1">
      <c r="A50" s="7" t="s">
        <v>149</v>
      </c>
      <c r="B50" s="7">
        <v>27</v>
      </c>
      <c r="C50" s="7">
        <v>24</v>
      </c>
      <c r="D50" s="7">
        <v>3</v>
      </c>
      <c r="E50" s="7">
        <v>18.41</v>
      </c>
      <c r="F50" s="7">
        <v>17.989999999999998</v>
      </c>
      <c r="G50" s="7">
        <v>17.87</v>
      </c>
      <c r="H50" s="7">
        <f t="shared" si="0"/>
        <v>18.09</v>
      </c>
      <c r="I50" s="7">
        <f t="shared" si="1"/>
        <v>0.28354893757515648</v>
      </c>
      <c r="J50" s="7" t="s">
        <v>244</v>
      </c>
      <c r="K50" s="7">
        <v>1.9</v>
      </c>
      <c r="L50" s="7">
        <f t="shared" si="2"/>
        <v>110319.59053610322</v>
      </c>
      <c r="M50" s="7">
        <f t="shared" si="3"/>
        <v>9.0645731654772569E-6</v>
      </c>
      <c r="N50" s="7">
        <f t="shared" si="4"/>
        <v>9064.5731654772571</v>
      </c>
      <c r="O50" s="7">
        <v>9.8187499999999996</v>
      </c>
      <c r="P50" s="7">
        <f t="shared" si="5"/>
        <v>9.8187499999999998E-6</v>
      </c>
      <c r="Q50" s="7">
        <v>0.97748888353114427</v>
      </c>
      <c r="R50" s="7">
        <f t="shared" si="13"/>
        <v>0.9444507792868938</v>
      </c>
      <c r="S50" s="7">
        <f t="shared" si="6"/>
        <v>-2.4820670713145691E-2</v>
      </c>
      <c r="T50" s="7">
        <v>0.5638531420162558</v>
      </c>
      <c r="U50" s="7">
        <v>-2.4820670713145691E-2</v>
      </c>
      <c r="V50" s="7">
        <v>0.5638531420162558</v>
      </c>
      <c r="AF50" s="7">
        <v>27</v>
      </c>
      <c r="AG50" s="7">
        <v>24</v>
      </c>
      <c r="AH50" s="7">
        <v>2</v>
      </c>
      <c r="AI50" s="7">
        <v>3.6824183800000001</v>
      </c>
      <c r="AJ50" s="7">
        <v>0.56613312999999998</v>
      </c>
      <c r="AP50" s="7">
        <v>27</v>
      </c>
      <c r="AQ50" s="7">
        <v>24</v>
      </c>
      <c r="AR50" s="7">
        <v>3</v>
      </c>
      <c r="AS50" s="7">
        <v>3.1537193459999999</v>
      </c>
      <c r="BB50" s="6">
        <v>16.34</v>
      </c>
    </row>
    <row r="51" spans="1:54" s="6" customFormat="1">
      <c r="A51" s="6" t="s">
        <v>235</v>
      </c>
      <c r="B51" s="6">
        <v>30</v>
      </c>
      <c r="C51" s="6">
        <v>24</v>
      </c>
      <c r="D51" s="6">
        <v>1</v>
      </c>
      <c r="E51" s="6">
        <v>16.05</v>
      </c>
      <c r="F51" s="6">
        <v>16.16</v>
      </c>
      <c r="G51" s="6">
        <v>16.260000000000002</v>
      </c>
      <c r="H51" s="6">
        <f t="shared" si="0"/>
        <v>16.156666666666666</v>
      </c>
      <c r="I51" s="6">
        <f t="shared" si="1"/>
        <v>0.10503967504392528</v>
      </c>
      <c r="J51" s="6" t="s">
        <v>245</v>
      </c>
      <c r="K51" s="6">
        <v>1.9</v>
      </c>
      <c r="L51" s="6">
        <f t="shared" si="2"/>
        <v>31895.470483933746</v>
      </c>
      <c r="M51" s="6">
        <f t="shared" si="3"/>
        <v>3.1352414146194078E-5</v>
      </c>
      <c r="N51" s="7">
        <f t="shared" si="4"/>
        <v>31352.414146194078</v>
      </c>
      <c r="O51" s="6">
        <v>4.3499999999999996</v>
      </c>
      <c r="P51" s="6">
        <f t="shared" si="5"/>
        <v>4.3499999999999999E-6</v>
      </c>
      <c r="Q51" s="6">
        <v>0.97396609479406415</v>
      </c>
      <c r="R51" s="6">
        <f t="shared" si="13"/>
        <v>7.4001051642199664</v>
      </c>
      <c r="S51" s="6">
        <f t="shared" si="6"/>
        <v>0.86923789161150256</v>
      </c>
      <c r="T51" s="6">
        <v>0.86877953379020112</v>
      </c>
      <c r="U51" s="6">
        <v>0.86923789161150256</v>
      </c>
      <c r="V51" s="6">
        <v>0.86877953379020112</v>
      </c>
      <c r="AD51" s="7"/>
      <c r="AF51" s="7">
        <v>27</v>
      </c>
      <c r="AG51" s="7">
        <v>24</v>
      </c>
      <c r="AH51" s="7">
        <v>3</v>
      </c>
      <c r="AI51" s="7">
        <v>5.6327204999999996</v>
      </c>
      <c r="AJ51" s="7">
        <v>0.7507182</v>
      </c>
      <c r="AP51" s="7">
        <v>27</v>
      </c>
      <c r="AQ51" s="7">
        <v>24</v>
      </c>
      <c r="AR51" s="7">
        <v>3</v>
      </c>
      <c r="AS51" s="7">
        <v>3.6631368360000001</v>
      </c>
      <c r="BB51" s="6">
        <v>15.926666669999999</v>
      </c>
    </row>
    <row r="52" spans="1:54" s="6" customFormat="1">
      <c r="A52" s="6" t="s">
        <v>236</v>
      </c>
      <c r="B52" s="6">
        <v>30</v>
      </c>
      <c r="C52" s="6">
        <v>24</v>
      </c>
      <c r="D52" s="6">
        <v>1</v>
      </c>
      <c r="E52" s="6">
        <v>16.309999999999999</v>
      </c>
      <c r="F52" s="6">
        <v>16.329999999999998</v>
      </c>
      <c r="G52" s="6">
        <v>16.38</v>
      </c>
      <c r="H52" s="6">
        <f t="shared" si="0"/>
        <v>16.34</v>
      </c>
      <c r="I52" s="6">
        <f t="shared" si="1"/>
        <v>3.6055512754640105E-2</v>
      </c>
      <c r="K52" s="6">
        <v>1.9</v>
      </c>
      <c r="L52" s="6">
        <f t="shared" si="2"/>
        <v>35878.463790652488</v>
      </c>
      <c r="M52" s="6">
        <f t="shared" si="3"/>
        <v>2.7871873384404286E-5</v>
      </c>
      <c r="N52" s="7">
        <f t="shared" si="4"/>
        <v>27871.873384404287</v>
      </c>
      <c r="O52" s="6">
        <v>5.85</v>
      </c>
      <c r="P52" s="6">
        <f t="shared" si="5"/>
        <v>5.8499999999999999E-6</v>
      </c>
      <c r="Q52" s="6">
        <v>0.92803036297350128</v>
      </c>
      <c r="R52" s="6">
        <f t="shared" si="13"/>
        <v>5.1339083189985155</v>
      </c>
      <c r="S52" s="6">
        <f t="shared" si="6"/>
        <v>0.71044810880200837</v>
      </c>
      <c r="T52" s="6">
        <v>0.85246903917644135</v>
      </c>
      <c r="U52" s="6">
        <v>0.71044810880200837</v>
      </c>
      <c r="V52" s="6">
        <v>0.85246903917644135</v>
      </c>
      <c r="AD52" s="7"/>
      <c r="AF52" s="7">
        <v>27</v>
      </c>
      <c r="AG52" s="7">
        <v>24</v>
      </c>
      <c r="AH52" s="7">
        <v>3</v>
      </c>
      <c r="AI52" s="7">
        <v>1.95309329</v>
      </c>
      <c r="AJ52" s="7">
        <v>0.29072299000000001</v>
      </c>
      <c r="AP52" s="6">
        <v>30</v>
      </c>
      <c r="AQ52" s="6">
        <v>24</v>
      </c>
      <c r="AR52" s="6">
        <v>1</v>
      </c>
      <c r="AS52" s="6">
        <v>7.3922991549999999</v>
      </c>
      <c r="BB52" s="6">
        <v>15.233333330000001</v>
      </c>
    </row>
    <row r="53" spans="1:54" s="6" customFormat="1">
      <c r="A53" s="6" t="s">
        <v>237</v>
      </c>
      <c r="B53" s="6">
        <v>30</v>
      </c>
      <c r="C53" s="6">
        <v>24</v>
      </c>
      <c r="D53" s="6">
        <v>1</v>
      </c>
      <c r="E53" s="6">
        <v>16</v>
      </c>
      <c r="F53" s="6">
        <v>15.94</v>
      </c>
      <c r="G53" s="6">
        <v>15.84</v>
      </c>
      <c r="H53" s="6">
        <f t="shared" si="0"/>
        <v>15.926666666666668</v>
      </c>
      <c r="I53" s="6">
        <f t="shared" si="1"/>
        <v>8.0829037686547645E-2</v>
      </c>
      <c r="K53" s="6">
        <v>1.9</v>
      </c>
      <c r="L53" s="6">
        <f t="shared" si="2"/>
        <v>27517.925117695915</v>
      </c>
      <c r="M53" s="6">
        <f t="shared" si="3"/>
        <v>3.6339949168512395E-5</v>
      </c>
      <c r="N53" s="7">
        <f t="shared" si="4"/>
        <v>36339.949168512394</v>
      </c>
      <c r="O53" s="6">
        <v>5.7437500000000004</v>
      </c>
      <c r="P53" s="6">
        <f t="shared" si="5"/>
        <v>5.7437500000000007E-6</v>
      </c>
      <c r="Q53" s="6">
        <v>0.94657088972785208</v>
      </c>
      <c r="R53" s="6">
        <f t="shared" si="13"/>
        <v>6.6839877066175566</v>
      </c>
      <c r="S53" s="6">
        <f t="shared" si="6"/>
        <v>0.82503564245518546</v>
      </c>
      <c r="T53" s="6">
        <v>0.85919937868130414</v>
      </c>
      <c r="U53" s="6">
        <v>0.82503564245518546</v>
      </c>
      <c r="V53" s="6">
        <v>0.85919937868130414</v>
      </c>
      <c r="AD53" s="7"/>
      <c r="AF53" s="7">
        <v>27</v>
      </c>
      <c r="AG53" s="7">
        <v>24</v>
      </c>
      <c r="AH53" s="7">
        <v>3</v>
      </c>
      <c r="AI53" s="7">
        <v>0.94445078000000005</v>
      </c>
      <c r="AJ53" s="7">
        <v>-2.4820700000000001E-2</v>
      </c>
      <c r="AP53" s="6">
        <v>30</v>
      </c>
      <c r="AQ53" s="6">
        <v>24</v>
      </c>
      <c r="AR53" s="6">
        <v>1</v>
      </c>
      <c r="AS53" s="6">
        <v>7.11982041</v>
      </c>
      <c r="BB53" s="6">
        <v>16.123333330000001</v>
      </c>
    </row>
    <row r="54" spans="1:54" s="6" customFormat="1">
      <c r="A54" s="6" t="s">
        <v>83</v>
      </c>
      <c r="B54" s="6">
        <v>30</v>
      </c>
      <c r="C54" s="6">
        <v>24</v>
      </c>
      <c r="D54" s="6">
        <v>2</v>
      </c>
      <c r="E54" s="6">
        <v>15.09</v>
      </c>
      <c r="F54" s="6">
        <v>15.08</v>
      </c>
      <c r="G54" s="6">
        <v>15.53</v>
      </c>
      <c r="H54" s="6">
        <f t="shared" si="0"/>
        <v>15.233333333333334</v>
      </c>
      <c r="I54" s="6">
        <f t="shared" si="1"/>
        <v>0.25696951829610676</v>
      </c>
      <c r="K54" s="6">
        <v>1.98</v>
      </c>
      <c r="L54" s="6">
        <f t="shared" si="2"/>
        <v>33052.151264160108</v>
      </c>
      <c r="M54" s="6">
        <f t="shared" si="3"/>
        <v>3.0255216733330871E-5</v>
      </c>
      <c r="N54" s="7">
        <f t="shared" si="4"/>
        <v>30255.216733330872</v>
      </c>
      <c r="O54" s="6">
        <v>6.8125</v>
      </c>
      <c r="P54" s="6">
        <f t="shared" si="5"/>
        <v>6.8125000000000004E-6</v>
      </c>
      <c r="Q54" s="6">
        <v>0.95511102734011599</v>
      </c>
      <c r="R54" s="6">
        <f t="shared" si="13"/>
        <v>4.649860177895965</v>
      </c>
      <c r="S54" s="6">
        <f t="shared" si="6"/>
        <v>0.66743989377571489</v>
      </c>
      <c r="T54" s="6">
        <v>0.63215461329093448</v>
      </c>
      <c r="U54" s="6">
        <v>0.66743989377571489</v>
      </c>
      <c r="V54" s="6">
        <v>0.63215461329093448</v>
      </c>
      <c r="AD54" s="7"/>
      <c r="AF54" s="6">
        <v>30</v>
      </c>
      <c r="AG54" s="6">
        <v>24</v>
      </c>
      <c r="AH54" s="6">
        <v>1</v>
      </c>
      <c r="AI54" s="6">
        <v>7.4001051599999998</v>
      </c>
      <c r="AJ54" s="6">
        <v>0.86923788999999996</v>
      </c>
      <c r="AP54" s="6">
        <v>30</v>
      </c>
      <c r="AQ54" s="6">
        <v>24</v>
      </c>
      <c r="AR54" s="6">
        <v>1</v>
      </c>
      <c r="AS54" s="6">
        <v>7.2310169359999996</v>
      </c>
      <c r="BB54" s="6">
        <v>17.756666670000001</v>
      </c>
    </row>
    <row r="55" spans="1:54" s="6" customFormat="1">
      <c r="A55" s="6" t="s">
        <v>214</v>
      </c>
      <c r="B55" s="6">
        <v>30</v>
      </c>
      <c r="C55" s="6">
        <v>24</v>
      </c>
      <c r="D55" s="6">
        <v>2</v>
      </c>
      <c r="E55" s="6">
        <v>16.12</v>
      </c>
      <c r="F55" s="6">
        <v>16.13</v>
      </c>
      <c r="G55" s="6">
        <v>16.12</v>
      </c>
      <c r="H55" s="6">
        <f t="shared" si="0"/>
        <v>16.123333333333335</v>
      </c>
      <c r="I55" s="6">
        <f t="shared" si="1"/>
        <v>5.7735026918951087E-3</v>
      </c>
      <c r="K55" s="6">
        <v>1.98</v>
      </c>
      <c r="L55" s="6">
        <f t="shared" si="2"/>
        <v>60706.018648897225</v>
      </c>
      <c r="M55" s="6">
        <f t="shared" si="3"/>
        <v>1.6472831232495359E-5</v>
      </c>
      <c r="N55" s="7">
        <f t="shared" si="4"/>
        <v>16472.831232495359</v>
      </c>
      <c r="O55" s="6">
        <v>6.7</v>
      </c>
      <c r="P55" s="6">
        <f t="shared" si="5"/>
        <v>6.7000000000000002E-6</v>
      </c>
      <c r="Q55" s="6">
        <v>0.97978974002532726</v>
      </c>
      <c r="R55" s="6">
        <f t="shared" si="13"/>
        <v>2.5093460635488571</v>
      </c>
      <c r="S55" s="6">
        <f t="shared" si="6"/>
        <v>0.39956055893346404</v>
      </c>
      <c r="T55" s="6">
        <v>0.71535757855761695</v>
      </c>
      <c r="U55" s="6">
        <v>0.39956055893346404</v>
      </c>
      <c r="V55" s="6">
        <v>0.71535757855761695</v>
      </c>
      <c r="AF55" s="6">
        <v>30</v>
      </c>
      <c r="AG55" s="6">
        <v>24</v>
      </c>
      <c r="AH55" s="6">
        <v>1</v>
      </c>
      <c r="AI55" s="6">
        <v>5.1339083199999997</v>
      </c>
      <c r="AJ55" s="6">
        <v>0.71044810999999997</v>
      </c>
      <c r="AP55" s="6">
        <v>30</v>
      </c>
      <c r="AQ55" s="6">
        <v>24</v>
      </c>
      <c r="AR55" s="6">
        <v>2</v>
      </c>
      <c r="AS55" s="6">
        <v>4.2870111519999998</v>
      </c>
      <c r="BB55" s="6">
        <v>16.704999999999998</v>
      </c>
    </row>
    <row r="56" spans="1:54" s="6" customFormat="1">
      <c r="A56" s="6" t="s">
        <v>35</v>
      </c>
      <c r="B56" s="6">
        <v>30</v>
      </c>
      <c r="C56" s="6">
        <v>24</v>
      </c>
      <c r="D56" s="6">
        <v>3</v>
      </c>
      <c r="E56" s="6">
        <v>17.77</v>
      </c>
      <c r="F56" s="6">
        <v>17.75</v>
      </c>
      <c r="G56" s="6">
        <v>17.75</v>
      </c>
      <c r="H56" s="6">
        <f>AVERAGE(E56:G56)</f>
        <v>17.756666666666664</v>
      </c>
      <c r="I56" s="6">
        <f>STDEV(E56:G56)</f>
        <v>1.154700538379227E-2</v>
      </c>
      <c r="K56" s="6">
        <v>1.98</v>
      </c>
      <c r="L56" s="6">
        <f t="shared" si="2"/>
        <v>185261.38013583422</v>
      </c>
      <c r="M56" s="6">
        <f t="shared" si="3"/>
        <v>5.3977790690471861E-6</v>
      </c>
      <c r="N56" s="7">
        <f t="shared" si="4"/>
        <v>5397.7790690471857</v>
      </c>
      <c r="O56" s="6">
        <v>3.45</v>
      </c>
      <c r="P56" s="6">
        <f t="shared" si="5"/>
        <v>3.45E-6</v>
      </c>
      <c r="Q56" s="6">
        <v>0.98758703799650693</v>
      </c>
      <c r="R56" s="6">
        <f t="shared" si="13"/>
        <v>1.5842387384671373</v>
      </c>
      <c r="S56" s="6">
        <f t="shared" si="6"/>
        <v>0.19982062863365835</v>
      </c>
      <c r="T56" s="6">
        <v>0.79711514871975042</v>
      </c>
      <c r="U56" s="6">
        <v>0.19982062863365835</v>
      </c>
      <c r="V56" s="6">
        <v>0.79711514871975042</v>
      </c>
      <c r="AF56" s="6">
        <v>30</v>
      </c>
      <c r="AG56" s="6">
        <v>24</v>
      </c>
      <c r="AH56" s="6">
        <v>1</v>
      </c>
      <c r="AI56" s="6">
        <v>6.6839877100000002</v>
      </c>
      <c r="AJ56" s="6">
        <v>0.82503563999999996</v>
      </c>
      <c r="AP56" s="6">
        <v>30</v>
      </c>
      <c r="AQ56" s="6">
        <v>24</v>
      </c>
      <c r="AR56" s="6">
        <v>2</v>
      </c>
      <c r="AS56" s="6">
        <v>5.1922737149999998</v>
      </c>
      <c r="BB56" s="7">
        <v>18.36333333</v>
      </c>
    </row>
    <row r="57" spans="1:54" s="6" customFormat="1">
      <c r="A57" s="6" t="s">
        <v>154</v>
      </c>
      <c r="B57" s="6">
        <v>30</v>
      </c>
      <c r="C57" s="6">
        <v>24</v>
      </c>
      <c r="D57" s="6">
        <v>3</v>
      </c>
      <c r="E57" s="6" t="s">
        <v>31</v>
      </c>
      <c r="F57" s="6">
        <v>16.760000000000002</v>
      </c>
      <c r="G57" s="6">
        <v>16.649999999999999</v>
      </c>
      <c r="H57" s="6">
        <f t="shared" si="0"/>
        <v>16.704999999999998</v>
      </c>
      <c r="I57" s="6">
        <f t="shared" si="1"/>
        <v>7.7781745930522339E-2</v>
      </c>
      <c r="K57" s="6">
        <v>1.98</v>
      </c>
      <c r="L57" s="6">
        <f t="shared" si="2"/>
        <v>90321.679244833314</v>
      </c>
      <c r="M57" s="6">
        <f t="shared" si="3"/>
        <v>1.107153906305615E-5</v>
      </c>
      <c r="N57" s="7">
        <f t="shared" si="4"/>
        <v>11071.539063056151</v>
      </c>
      <c r="O57" s="6">
        <v>1.5687500000000001</v>
      </c>
      <c r="P57" s="6">
        <f t="shared" si="5"/>
        <v>1.56875E-6</v>
      </c>
      <c r="Q57" s="6">
        <v>0.96253504590184091</v>
      </c>
      <c r="R57" s="6">
        <f t="shared" si="13"/>
        <v>7.3322574708108235</v>
      </c>
      <c r="S57" s="6">
        <f t="shared" si="6"/>
        <v>0.86523770672513978</v>
      </c>
      <c r="T57" s="6">
        <v>1.7573915814802914</v>
      </c>
      <c r="U57" s="6">
        <v>0.86523770672513978</v>
      </c>
      <c r="V57" s="6">
        <v>1.7573915814802914</v>
      </c>
      <c r="AF57" s="6">
        <v>30</v>
      </c>
      <c r="AG57" s="6">
        <v>24</v>
      </c>
      <c r="AH57" s="6">
        <v>2</v>
      </c>
      <c r="AI57" s="6">
        <v>4.6498601800000001</v>
      </c>
      <c r="AJ57" s="6">
        <v>0.66743989000000004</v>
      </c>
      <c r="AP57" s="6">
        <v>30</v>
      </c>
      <c r="AQ57" s="6">
        <v>24</v>
      </c>
      <c r="AR57" s="6">
        <v>3</v>
      </c>
      <c r="AS57" s="6">
        <v>6.2678002690000003</v>
      </c>
      <c r="BB57" s="7">
        <v>15.76</v>
      </c>
    </row>
    <row r="58" spans="1:54" s="7" customFormat="1">
      <c r="A58" s="7" t="s">
        <v>110</v>
      </c>
      <c r="B58" s="7">
        <v>27</v>
      </c>
      <c r="C58" s="7">
        <v>48</v>
      </c>
      <c r="D58" s="7">
        <v>1</v>
      </c>
      <c r="E58" s="7">
        <v>19.100000000000001</v>
      </c>
      <c r="F58" s="7">
        <v>18.21</v>
      </c>
      <c r="G58" s="7">
        <v>17.78</v>
      </c>
      <c r="H58" s="7">
        <f t="shared" si="0"/>
        <v>18.363333333333333</v>
      </c>
      <c r="I58" s="7">
        <f t="shared" si="1"/>
        <v>0.67322606406268437</v>
      </c>
      <c r="K58" s="7">
        <v>1.98</v>
      </c>
      <c r="L58" s="7">
        <f t="shared" si="2"/>
        <v>280389.5200075364</v>
      </c>
      <c r="M58" s="7">
        <f t="shared" si="3"/>
        <v>3.5664671060927018E-6</v>
      </c>
      <c r="N58" s="7">
        <f t="shared" si="4"/>
        <v>3566.4671060927017</v>
      </c>
      <c r="O58" s="7">
        <v>4.0187499999999998</v>
      </c>
      <c r="P58" s="7">
        <f t="shared" si="5"/>
        <v>4.0187499999999994E-6</v>
      </c>
      <c r="Q58" s="7">
        <v>0.97877458854797017</v>
      </c>
      <c r="R58" s="7">
        <f t="shared" si="13"/>
        <v>0.90670194450336383</v>
      </c>
      <c r="S58" s="7">
        <f t="shared" si="6"/>
        <v>-4.2535452885734959E-2</v>
      </c>
      <c r="T58" s="7">
        <v>0.44046330137236422</v>
      </c>
      <c r="U58" s="7">
        <v>-4.2535452885734959E-2</v>
      </c>
      <c r="V58" s="7">
        <v>0.44046330137236422</v>
      </c>
      <c r="AD58" s="6"/>
      <c r="AF58" s="6">
        <v>30</v>
      </c>
      <c r="AG58" s="6">
        <v>24</v>
      </c>
      <c r="AH58" s="6">
        <v>2</v>
      </c>
      <c r="AI58" s="6">
        <v>2.5093460599999999</v>
      </c>
      <c r="AJ58" s="6">
        <v>0.39956056000000001</v>
      </c>
      <c r="AP58" s="6">
        <v>30</v>
      </c>
      <c r="AQ58" s="6">
        <v>24</v>
      </c>
      <c r="AR58" s="6">
        <v>3</v>
      </c>
      <c r="AS58" s="6">
        <v>57.199414259999998</v>
      </c>
      <c r="BB58" s="7">
        <v>15.456666670000001</v>
      </c>
    </row>
    <row r="59" spans="1:54" s="7" customFormat="1">
      <c r="A59" s="7" t="s">
        <v>111</v>
      </c>
      <c r="B59" s="7">
        <v>27</v>
      </c>
      <c r="C59" s="7">
        <v>48</v>
      </c>
      <c r="D59" s="7">
        <v>1</v>
      </c>
      <c r="E59" s="7">
        <v>15.82</v>
      </c>
      <c r="F59" s="7">
        <v>15.76</v>
      </c>
      <c r="G59" s="7">
        <v>15.7</v>
      </c>
      <c r="H59" s="7">
        <f>AVERAGE(E59:G59)</f>
        <v>15.76</v>
      </c>
      <c r="I59" s="7">
        <f>STDEV(E59:G59)</f>
        <v>6.0000000000000497E-2</v>
      </c>
      <c r="K59" s="7">
        <v>1.98</v>
      </c>
      <c r="L59" s="7">
        <f t="shared" si="2"/>
        <v>47363.457549026236</v>
      </c>
      <c r="M59" s="7">
        <f t="shared" si="3"/>
        <v>2.1113323472318151E-5</v>
      </c>
      <c r="N59" s="7">
        <f t="shared" si="4"/>
        <v>21113.323472318152</v>
      </c>
      <c r="O59" s="7">
        <v>7.7374999999999998</v>
      </c>
      <c r="P59" s="7">
        <f t="shared" si="5"/>
        <v>7.7375E-6</v>
      </c>
      <c r="Q59" s="7">
        <v>0.98081139123687633</v>
      </c>
      <c r="R59" s="7">
        <f t="shared" si="13"/>
        <v>2.78208527938938</v>
      </c>
      <c r="S59" s="7">
        <f t="shared" si="6"/>
        <v>0.44437043830900508</v>
      </c>
      <c r="T59" s="7">
        <v>0.34633937065435033</v>
      </c>
      <c r="U59" s="7">
        <v>0.44437043830900508</v>
      </c>
      <c r="V59" s="7">
        <v>0.34633937065435033</v>
      </c>
      <c r="AD59" s="6"/>
      <c r="AF59" s="6">
        <v>30</v>
      </c>
      <c r="AG59" s="6">
        <v>24</v>
      </c>
      <c r="AH59" s="6">
        <v>3</v>
      </c>
      <c r="AI59" s="6">
        <v>1.58423874</v>
      </c>
      <c r="AJ59" s="6">
        <v>0.19982063</v>
      </c>
      <c r="AP59" s="7">
        <v>27</v>
      </c>
      <c r="AQ59" s="7">
        <v>48</v>
      </c>
      <c r="AR59" s="7">
        <v>1</v>
      </c>
      <c r="AS59" s="7">
        <v>2.7571684570000001</v>
      </c>
      <c r="BB59" s="7">
        <v>16.52333333</v>
      </c>
    </row>
    <row r="60" spans="1:54" s="7" customFormat="1">
      <c r="A60" s="7" t="s">
        <v>112</v>
      </c>
      <c r="B60" s="7">
        <v>27</v>
      </c>
      <c r="C60" s="7">
        <v>48</v>
      </c>
      <c r="D60" s="7">
        <v>1</v>
      </c>
      <c r="E60" s="7">
        <v>15.48</v>
      </c>
      <c r="F60" s="7">
        <v>15.43</v>
      </c>
      <c r="G60" s="7">
        <v>15.46</v>
      </c>
      <c r="H60" s="7">
        <f t="shared" si="0"/>
        <v>15.456666666666669</v>
      </c>
      <c r="I60" s="7">
        <f t="shared" si="1"/>
        <v>2.5166114784236238E-2</v>
      </c>
      <c r="J60" s="7" t="s">
        <v>9</v>
      </c>
      <c r="K60" s="7">
        <v>1.98</v>
      </c>
      <c r="L60" s="7">
        <f t="shared" si="2"/>
        <v>38499.488315430921</v>
      </c>
      <c r="M60" s="7">
        <f t="shared" si="3"/>
        <v>2.5974371186621498E-5</v>
      </c>
      <c r="N60" s="7">
        <f t="shared" si="4"/>
        <v>25974.371186621498</v>
      </c>
      <c r="O60" s="7">
        <v>8.3187499999999996</v>
      </c>
      <c r="P60" s="7">
        <f t="shared" si="5"/>
        <v>8.3187499999999989E-6</v>
      </c>
      <c r="Q60" s="7">
        <v>0.97713404987858676</v>
      </c>
      <c r="R60" s="7">
        <f t="shared" si="13"/>
        <v>3.195455856898247</v>
      </c>
      <c r="S60" s="7">
        <f t="shared" si="6"/>
        <v>0.50453282243599917</v>
      </c>
      <c r="T60" s="7">
        <v>0.48934546706040016</v>
      </c>
      <c r="U60" s="7">
        <v>0.50453282243599917</v>
      </c>
      <c r="V60" s="7">
        <v>0.48934546706040016</v>
      </c>
      <c r="AD60" s="6"/>
      <c r="AF60" s="6">
        <v>30</v>
      </c>
      <c r="AG60" s="6">
        <v>24</v>
      </c>
      <c r="AH60" s="6">
        <v>3</v>
      </c>
      <c r="AI60" s="6">
        <v>7.3322574700000001</v>
      </c>
      <c r="AJ60" s="6">
        <v>0.86523771000000005</v>
      </c>
      <c r="AP60" s="7">
        <v>27</v>
      </c>
      <c r="AQ60" s="7">
        <v>48</v>
      </c>
      <c r="AR60" s="7">
        <v>1</v>
      </c>
      <c r="AS60" s="7">
        <v>2.2199304620000002</v>
      </c>
      <c r="BB60" s="7">
        <v>15.31</v>
      </c>
    </row>
    <row r="61" spans="1:54" s="7" customFormat="1">
      <c r="A61" s="7" t="s">
        <v>113</v>
      </c>
      <c r="B61" s="7">
        <v>27</v>
      </c>
      <c r="C61" s="7">
        <v>48</v>
      </c>
      <c r="D61" s="7">
        <v>2</v>
      </c>
      <c r="E61" s="7">
        <v>16.510000000000002</v>
      </c>
      <c r="F61" s="7">
        <v>16.43</v>
      </c>
      <c r="G61" s="7">
        <v>16.63</v>
      </c>
      <c r="H61" s="7">
        <f>AVERAGE(E61:G61)</f>
        <v>16.52333333333333</v>
      </c>
      <c r="I61" s="7">
        <f>STDEV(E61:G61)</f>
        <v>0.10066445913694283</v>
      </c>
      <c r="J61" s="7">
        <f>AVERAGE(21.14,21.35)</f>
        <v>21.245000000000001</v>
      </c>
      <c r="K61" s="7">
        <v>1.98</v>
      </c>
      <c r="L61" s="7">
        <f t="shared" si="2"/>
        <v>79780.697166432554</v>
      </c>
      <c r="M61" s="7">
        <f t="shared" si="3"/>
        <v>1.2534360259021984E-5</v>
      </c>
      <c r="N61" s="7">
        <f t="shared" si="4"/>
        <v>12534.360259021985</v>
      </c>
      <c r="O61" s="7">
        <v>5.95</v>
      </c>
      <c r="P61" s="7">
        <f t="shared" si="5"/>
        <v>5.9499999999999998E-6</v>
      </c>
      <c r="Q61" s="7">
        <v>0.98007320331537806</v>
      </c>
      <c r="R61" s="7">
        <f t="shared" si="13"/>
        <v>2.1494467581169432</v>
      </c>
      <c r="S61" s="7">
        <f t="shared" si="6"/>
        <v>0.33232669209438886</v>
      </c>
      <c r="T61" s="7">
        <v>0.37842991063751086</v>
      </c>
      <c r="U61" s="7">
        <v>0.33232669209438886</v>
      </c>
      <c r="V61" s="7">
        <v>0.37842991063751086</v>
      </c>
      <c r="AD61" s="6"/>
      <c r="AF61" s="7">
        <v>27</v>
      </c>
      <c r="AG61" s="7">
        <v>48</v>
      </c>
      <c r="AH61" s="7">
        <v>1</v>
      </c>
      <c r="AI61" s="7">
        <v>0.90670194999999998</v>
      </c>
      <c r="AJ61" s="7">
        <v>-4.2535499999999997E-2</v>
      </c>
      <c r="AP61" s="7">
        <v>27</v>
      </c>
      <c r="AQ61" s="7">
        <v>48</v>
      </c>
      <c r="AR61" s="7">
        <v>1</v>
      </c>
      <c r="AS61" s="7">
        <v>3.085641501</v>
      </c>
      <c r="BB61" s="7">
        <v>17.260000000000002</v>
      </c>
    </row>
    <row r="62" spans="1:54" s="7" customFormat="1">
      <c r="A62" s="7" t="s">
        <v>125</v>
      </c>
      <c r="B62" s="7">
        <v>27</v>
      </c>
      <c r="C62" s="7">
        <v>48</v>
      </c>
      <c r="D62" s="7">
        <v>2</v>
      </c>
      <c r="E62" s="7">
        <v>15.39</v>
      </c>
      <c r="F62" s="7">
        <v>15.3</v>
      </c>
      <c r="G62" s="7">
        <v>15.24</v>
      </c>
      <c r="H62" s="7">
        <f t="shared" ref="H62:H73" si="14">AVERAGE(E62:G62)</f>
        <v>15.31</v>
      </c>
      <c r="I62" s="7">
        <f t="shared" ref="I62:I73" si="15">STDEV(E62:G62)</f>
        <v>7.549834435270765E-2</v>
      </c>
      <c r="J62" s="7" t="s">
        <v>238</v>
      </c>
      <c r="K62" s="7">
        <v>1.98</v>
      </c>
      <c r="L62" s="7">
        <f t="shared" ref="L62:L73" si="16">K62^H62</f>
        <v>34829.245210578549</v>
      </c>
      <c r="M62" s="7">
        <f t="shared" ref="M62:M73" si="17">L62^-1</f>
        <v>2.8711503621567829E-5</v>
      </c>
      <c r="N62" s="7">
        <f t="shared" si="4"/>
        <v>28711.50362156783</v>
      </c>
      <c r="O62" s="7">
        <v>3.109375</v>
      </c>
      <c r="P62" s="7">
        <f t="shared" si="5"/>
        <v>3.1093750000000002E-6</v>
      </c>
      <c r="Q62" s="7">
        <v>0.95459317024518542</v>
      </c>
      <c r="R62" s="7">
        <f t="shared" si="13"/>
        <v>9.6730740369583721</v>
      </c>
      <c r="S62" s="7">
        <f t="shared" si="6"/>
        <v>0.98556451184234395</v>
      </c>
      <c r="T62" s="7">
        <v>0.6695353544291982</v>
      </c>
      <c r="U62" s="7">
        <v>0.98556451184234395</v>
      </c>
      <c r="V62" s="7">
        <v>0.6695353544291982</v>
      </c>
      <c r="AF62" s="7">
        <v>27</v>
      </c>
      <c r="AG62" s="7">
        <v>48</v>
      </c>
      <c r="AH62" s="7">
        <v>1</v>
      </c>
      <c r="AI62" s="7">
        <v>2.78208528</v>
      </c>
      <c r="AJ62" s="7">
        <v>0.44437043999999998</v>
      </c>
      <c r="AP62" s="7">
        <v>27</v>
      </c>
      <c r="AQ62" s="7">
        <v>48</v>
      </c>
      <c r="AR62" s="7">
        <v>2</v>
      </c>
      <c r="AS62" s="7">
        <v>2.3901761619999999</v>
      </c>
      <c r="BB62" s="7">
        <v>15.73</v>
      </c>
    </row>
    <row r="63" spans="1:54" s="7" customFormat="1">
      <c r="A63" s="7" t="s">
        <v>126</v>
      </c>
      <c r="B63" s="7">
        <v>27</v>
      </c>
      <c r="C63" s="7">
        <v>48</v>
      </c>
      <c r="D63" s="7">
        <v>2</v>
      </c>
      <c r="E63" s="7">
        <v>17.239999999999998</v>
      </c>
      <c r="F63" s="7">
        <v>17.260000000000002</v>
      </c>
      <c r="G63" s="7">
        <v>17.28</v>
      </c>
      <c r="H63" s="7">
        <f>AVERAGE(E63:G63)</f>
        <v>17.260000000000002</v>
      </c>
      <c r="I63" s="7">
        <f>STDEV(E63:G63)</f>
        <v>2.000000000000135E-2</v>
      </c>
      <c r="J63" s="7">
        <f>AVERAGE(24.09,24.07,23.91)</f>
        <v>24.02333333333333</v>
      </c>
      <c r="K63" s="7">
        <v>1.98</v>
      </c>
      <c r="L63" s="7">
        <f t="shared" si="16"/>
        <v>131959.65879024236</v>
      </c>
      <c r="M63" s="7">
        <f t="shared" si="17"/>
        <v>7.5780735504140614E-6</v>
      </c>
      <c r="N63" s="7">
        <f t="shared" si="4"/>
        <v>7578.0735504140612</v>
      </c>
      <c r="O63" s="7">
        <v>3.5249999999999999</v>
      </c>
      <c r="P63" s="7">
        <f t="shared" si="5"/>
        <v>3.5249999999999997E-6</v>
      </c>
      <c r="Q63" s="7">
        <v>0.97546471700152448</v>
      </c>
      <c r="R63" s="7">
        <f t="shared" si="13"/>
        <v>2.2038809420155427</v>
      </c>
      <c r="S63" s="7">
        <f t="shared" si="6"/>
        <v>0.34318812937108717</v>
      </c>
      <c r="T63" s="7">
        <v>0.51953412023019807</v>
      </c>
      <c r="U63" s="7">
        <v>0.34318812937108717</v>
      </c>
      <c r="V63" s="7">
        <v>0.51953412023019807</v>
      </c>
      <c r="AF63" s="7">
        <v>27</v>
      </c>
      <c r="AG63" s="7">
        <v>48</v>
      </c>
      <c r="AH63" s="7">
        <v>1</v>
      </c>
      <c r="AI63" s="7">
        <v>3.19545586</v>
      </c>
      <c r="AJ63" s="7">
        <v>0.50453281999999999</v>
      </c>
      <c r="AP63" s="7">
        <v>27</v>
      </c>
      <c r="AQ63" s="7">
        <v>48</v>
      </c>
      <c r="AR63" s="7">
        <v>2</v>
      </c>
      <c r="AS63" s="7">
        <v>4.6723498560000003</v>
      </c>
      <c r="BB63" s="7">
        <v>18.603333330000002</v>
      </c>
    </row>
    <row r="64" spans="1:54" s="7" customFormat="1">
      <c r="A64" s="7" t="s">
        <v>127</v>
      </c>
      <c r="B64" s="7">
        <v>27</v>
      </c>
      <c r="C64" s="7">
        <v>48</v>
      </c>
      <c r="D64" s="7">
        <v>3</v>
      </c>
      <c r="E64" s="7">
        <v>15.76</v>
      </c>
      <c r="F64" s="7">
        <v>15.76</v>
      </c>
      <c r="G64" s="7">
        <v>15.67</v>
      </c>
      <c r="H64" s="7">
        <f t="shared" si="14"/>
        <v>15.729999999999999</v>
      </c>
      <c r="I64" s="7">
        <f t="shared" si="15"/>
        <v>5.1961524227066236E-2</v>
      </c>
      <c r="J64" s="7" t="s">
        <v>129</v>
      </c>
      <c r="K64" s="7">
        <v>1.98</v>
      </c>
      <c r="L64" s="7">
        <f t="shared" si="16"/>
        <v>46402.720466184168</v>
      </c>
      <c r="M64" s="7">
        <f t="shared" si="17"/>
        <v>2.1550460618548148E-5</v>
      </c>
      <c r="N64" s="7">
        <f t="shared" si="4"/>
        <v>21550.460618548146</v>
      </c>
      <c r="O64" s="7">
        <v>4.2249999999999996</v>
      </c>
      <c r="P64" s="7">
        <f t="shared" ref="P64:P73" si="18">O64/(10^6)</f>
        <v>4.2249999999999994E-6</v>
      </c>
      <c r="Q64" s="7">
        <v>0.97165998861190006</v>
      </c>
      <c r="R64" s="7">
        <f t="shared" si="13"/>
        <v>5.2494708003822357</v>
      </c>
      <c r="S64" s="7">
        <f t="shared" si="6"/>
        <v>0.72011552434730064</v>
      </c>
      <c r="T64" s="7">
        <v>0.34033306815088771</v>
      </c>
      <c r="U64" s="7">
        <v>0.72011552434730064</v>
      </c>
      <c r="V64" s="7">
        <v>0.34033306815088771</v>
      </c>
      <c r="AF64" s="7">
        <v>27</v>
      </c>
      <c r="AG64" s="7">
        <v>48</v>
      </c>
      <c r="AH64" s="7">
        <v>2</v>
      </c>
      <c r="AI64" s="7">
        <v>2.14944676</v>
      </c>
      <c r="AJ64" s="7">
        <v>0.33232668999999998</v>
      </c>
      <c r="AP64" s="7">
        <v>27</v>
      </c>
      <c r="AQ64" s="7">
        <v>48</v>
      </c>
      <c r="AR64" s="7">
        <v>2</v>
      </c>
      <c r="AS64" s="7">
        <v>3.3077609840000002</v>
      </c>
      <c r="BB64" s="7">
        <v>16.073333330000001</v>
      </c>
    </row>
    <row r="65" spans="1:54" s="7" customFormat="1">
      <c r="A65" s="7" t="s">
        <v>128</v>
      </c>
      <c r="B65" s="7">
        <v>27</v>
      </c>
      <c r="C65" s="7">
        <v>48</v>
      </c>
      <c r="D65" s="7">
        <v>3</v>
      </c>
      <c r="E65" s="7">
        <v>18.64</v>
      </c>
      <c r="F65" s="7">
        <v>18.59</v>
      </c>
      <c r="G65" s="7">
        <v>18.579999999999998</v>
      </c>
      <c r="H65" s="7">
        <f>AVERAGE(E65:G65)</f>
        <v>18.603333333333335</v>
      </c>
      <c r="I65" s="7">
        <f>STDEV(E65:G65)</f>
        <v>3.2145502536644152E-2</v>
      </c>
      <c r="J65" s="7">
        <f>AVERAGE(27.88,27.99,28.04)</f>
        <v>27.97</v>
      </c>
      <c r="K65" s="7">
        <v>1.98</v>
      </c>
      <c r="L65" s="7">
        <f t="shared" si="16"/>
        <v>330340.19653489318</v>
      </c>
      <c r="M65" s="7">
        <f t="shared" si="17"/>
        <v>3.0271823123238107E-6</v>
      </c>
      <c r="N65" s="7">
        <f t="shared" si="4"/>
        <v>3027.1823123238109</v>
      </c>
      <c r="O65" s="7">
        <v>6.1437499999999998</v>
      </c>
      <c r="P65" s="7">
        <f t="shared" si="18"/>
        <v>6.1437499999999994E-6</v>
      </c>
      <c r="Q65" s="7">
        <v>0.9686491173280104</v>
      </c>
      <c r="R65" s="7">
        <f t="shared" si="13"/>
        <v>0.50867284625316112</v>
      </c>
      <c r="S65" s="7">
        <f t="shared" si="6"/>
        <v>-0.29356144506407766</v>
      </c>
      <c r="U65" s="7">
        <v>0.60860625681433744</v>
      </c>
      <c r="V65" s="7">
        <v>0.76690051188260111</v>
      </c>
      <c r="AF65" s="7">
        <v>27</v>
      </c>
      <c r="AG65" s="7">
        <v>48</v>
      </c>
      <c r="AH65" s="7">
        <v>2</v>
      </c>
      <c r="AI65" s="7">
        <v>9.6730740399999995</v>
      </c>
      <c r="AJ65" s="7">
        <v>0.98556451</v>
      </c>
      <c r="AP65" s="7">
        <v>27</v>
      </c>
      <c r="AQ65" s="7">
        <v>48</v>
      </c>
      <c r="AR65" s="7">
        <v>3</v>
      </c>
      <c r="AS65" s="7">
        <v>2.1894401010000002</v>
      </c>
      <c r="BB65" s="6">
        <v>16.856666669999999</v>
      </c>
    </row>
    <row r="66" spans="1:54" s="7" customFormat="1">
      <c r="A66" s="7" t="s">
        <v>189</v>
      </c>
      <c r="B66" s="7">
        <v>27</v>
      </c>
      <c r="C66" s="7">
        <v>48</v>
      </c>
      <c r="D66" s="7">
        <v>3</v>
      </c>
      <c r="E66" s="7">
        <v>16.16</v>
      </c>
      <c r="F66" s="7">
        <v>16.05</v>
      </c>
      <c r="G66" s="7">
        <v>16.010000000000002</v>
      </c>
      <c r="H66" s="7">
        <f t="shared" si="14"/>
        <v>16.073333333333334</v>
      </c>
      <c r="I66" s="7">
        <f t="shared" si="15"/>
        <v>7.7674534651539617E-2</v>
      </c>
      <c r="J66" s="7">
        <f>J65-J63</f>
        <v>3.946666666666669</v>
      </c>
      <c r="K66" s="7">
        <v>1.98</v>
      </c>
      <c r="L66" s="7">
        <f t="shared" si="16"/>
        <v>58667.622856805603</v>
      </c>
      <c r="M66" s="7">
        <f t="shared" si="17"/>
        <v>1.7045176731308404E-5</v>
      </c>
      <c r="N66" s="7">
        <f t="shared" si="4"/>
        <v>17045.176731308406</v>
      </c>
      <c r="O66" s="7">
        <v>4.2874999999999996</v>
      </c>
      <c r="P66" s="7">
        <f t="shared" si="18"/>
        <v>4.2875E-6</v>
      </c>
      <c r="Q66" s="7">
        <v>0.97901899627476141</v>
      </c>
      <c r="R66" s="7">
        <f t="shared" ref="R66:R73" si="19">M66/P66/Q66</f>
        <v>4.0607500358411182</v>
      </c>
      <c r="S66" s="7">
        <f t="shared" si="6"/>
        <v>0.60860625681433744</v>
      </c>
      <c r="T66" s="7">
        <v>0.76690051188260111</v>
      </c>
      <c r="U66" s="6">
        <v>0.39738290433200196</v>
      </c>
      <c r="V66" s="6">
        <v>0.63095988066079578</v>
      </c>
      <c r="AF66" s="7">
        <v>27</v>
      </c>
      <c r="AG66" s="7">
        <v>48</v>
      </c>
      <c r="AH66" s="7">
        <v>2</v>
      </c>
      <c r="AI66" s="7">
        <v>2.2038809399999999</v>
      </c>
      <c r="AJ66" s="7">
        <v>0.34318812999999998</v>
      </c>
      <c r="AP66" s="7">
        <v>27</v>
      </c>
      <c r="AQ66" s="7">
        <v>48</v>
      </c>
      <c r="AR66" s="7">
        <v>3</v>
      </c>
      <c r="AS66" s="7">
        <v>5.8465613589999998</v>
      </c>
      <c r="BB66" s="6">
        <v>16.49666667</v>
      </c>
    </row>
    <row r="67" spans="1:54" s="6" customFormat="1">
      <c r="A67" s="6" t="s">
        <v>190</v>
      </c>
      <c r="B67" s="6">
        <v>30</v>
      </c>
      <c r="C67" s="6">
        <v>48</v>
      </c>
      <c r="D67" s="6">
        <v>1</v>
      </c>
      <c r="E67" s="6">
        <v>16.850000000000001</v>
      </c>
      <c r="F67" s="6">
        <v>16.84</v>
      </c>
      <c r="G67" s="6">
        <v>16.88</v>
      </c>
      <c r="H67" s="6">
        <f t="shared" si="14"/>
        <v>16.856666666666666</v>
      </c>
      <c r="I67" s="6">
        <f t="shared" si="15"/>
        <v>2.0816659994660598E-2</v>
      </c>
      <c r="J67" s="6">
        <f>J63-J61</f>
        <v>2.7783333333333289</v>
      </c>
      <c r="K67" s="6">
        <v>1.98</v>
      </c>
      <c r="L67" s="6">
        <f t="shared" si="16"/>
        <v>100181.19869660363</v>
      </c>
      <c r="M67" s="6">
        <f t="shared" si="17"/>
        <v>9.9819129039219835E-6</v>
      </c>
      <c r="N67" s="7">
        <f t="shared" ref="N67:N73" si="20">M67*(10^9)</f>
        <v>9981.9129039219843</v>
      </c>
      <c r="O67" s="6">
        <v>4.1124999999999998</v>
      </c>
      <c r="P67" s="6">
        <f t="shared" si="18"/>
        <v>4.1125E-6</v>
      </c>
      <c r="Q67" s="6">
        <v>0.97213137701118812</v>
      </c>
      <c r="R67" s="6">
        <f t="shared" si="19"/>
        <v>2.4967951056553788</v>
      </c>
      <c r="S67" s="6">
        <f t="shared" ref="S67:S73" si="21">LOG(R67)</f>
        <v>0.39738290433200196</v>
      </c>
      <c r="T67" s="6">
        <v>0.63095988066079578</v>
      </c>
      <c r="U67" s="6">
        <v>0.26157309500903625</v>
      </c>
      <c r="V67" s="6">
        <v>0.58355937444087913</v>
      </c>
      <c r="AD67" s="7"/>
      <c r="AF67" s="7">
        <v>27</v>
      </c>
      <c r="AG67" s="7">
        <v>48</v>
      </c>
      <c r="AH67" s="7">
        <v>3</v>
      </c>
      <c r="AI67" s="7">
        <v>5.2494708000000001</v>
      </c>
      <c r="AJ67" s="7">
        <v>0.72011552000000001</v>
      </c>
      <c r="AP67" s="6">
        <v>30</v>
      </c>
      <c r="AQ67" s="6">
        <v>48</v>
      </c>
      <c r="AR67" s="6">
        <v>1</v>
      </c>
      <c r="AS67" s="6">
        <v>4.2752339050000003</v>
      </c>
      <c r="BB67" s="6">
        <v>16.926666669999999</v>
      </c>
    </row>
    <row r="68" spans="1:54" s="6" customFormat="1">
      <c r="A68" s="6" t="s">
        <v>191</v>
      </c>
      <c r="B68" s="6">
        <v>30</v>
      </c>
      <c r="C68" s="6">
        <v>48</v>
      </c>
      <c r="D68" s="6">
        <v>1</v>
      </c>
      <c r="E68" s="6">
        <v>16.489999999999998</v>
      </c>
      <c r="F68" s="6">
        <v>16.510000000000002</v>
      </c>
      <c r="G68" s="6">
        <v>16.489999999999998</v>
      </c>
      <c r="H68" s="6">
        <f t="shared" si="14"/>
        <v>16.496666666666666</v>
      </c>
      <c r="I68" s="6">
        <f t="shared" si="15"/>
        <v>1.154700538379432E-2</v>
      </c>
      <c r="J68" s="6">
        <f>AVERAGE(J66:J67)</f>
        <v>3.3624999999999989</v>
      </c>
      <c r="K68" s="6">
        <v>1.98</v>
      </c>
      <c r="L68" s="6">
        <f t="shared" si="16"/>
        <v>78340.575092458603</v>
      </c>
      <c r="M68" s="6">
        <f t="shared" si="17"/>
        <v>1.276477736881286E-5</v>
      </c>
      <c r="N68" s="7">
        <f t="shared" si="20"/>
        <v>12764.77736881286</v>
      </c>
      <c r="O68" s="6">
        <v>7.125</v>
      </c>
      <c r="P68" s="6">
        <f t="shared" si="18"/>
        <v>7.1250000000000004E-6</v>
      </c>
      <c r="Q68" s="6">
        <v>0.98096899476485766</v>
      </c>
      <c r="R68" s="6">
        <f t="shared" si="19"/>
        <v>1.8263041038472954</v>
      </c>
      <c r="S68" s="6">
        <f t="shared" si="21"/>
        <v>0.26157309500903625</v>
      </c>
      <c r="T68" s="6">
        <v>0.58355937444087913</v>
      </c>
      <c r="U68" s="6">
        <v>0.25014965652424676</v>
      </c>
      <c r="V68" s="6">
        <v>0.80594324356383973</v>
      </c>
      <c r="AD68" s="7"/>
      <c r="AF68" s="7">
        <v>27</v>
      </c>
      <c r="AG68" s="7">
        <v>48</v>
      </c>
      <c r="AH68" s="7">
        <v>3</v>
      </c>
      <c r="AI68" s="7">
        <v>0.50867284999999995</v>
      </c>
      <c r="AJ68" s="7">
        <v>-0.29356139999999997</v>
      </c>
      <c r="AP68" s="6">
        <v>30</v>
      </c>
      <c r="AQ68" s="6">
        <v>48</v>
      </c>
      <c r="AR68" s="6">
        <v>1</v>
      </c>
      <c r="AS68" s="6">
        <v>3.8331814199999998</v>
      </c>
      <c r="BB68" s="6">
        <v>15.74</v>
      </c>
    </row>
    <row r="69" spans="1:54" s="6" customFormat="1">
      <c r="A69" s="6" t="s">
        <v>192</v>
      </c>
      <c r="B69" s="6">
        <v>30</v>
      </c>
      <c r="C69" s="6">
        <v>48</v>
      </c>
      <c r="D69" s="6">
        <v>1</v>
      </c>
      <c r="E69" s="6">
        <v>16.989999999999998</v>
      </c>
      <c r="F69" s="6">
        <v>16.98</v>
      </c>
      <c r="G69" s="6">
        <v>16.809999999999999</v>
      </c>
      <c r="H69" s="6">
        <f t="shared" si="14"/>
        <v>16.926666666666666</v>
      </c>
      <c r="I69" s="6">
        <f t="shared" si="15"/>
        <v>0.10115993936995715</v>
      </c>
      <c r="J69" s="6" t="s">
        <v>70</v>
      </c>
      <c r="K69" s="6">
        <v>1.98</v>
      </c>
      <c r="L69" s="6">
        <f t="shared" si="16"/>
        <v>105087.91782391613</v>
      </c>
      <c r="M69" s="6">
        <f t="shared" si="17"/>
        <v>9.5158417894965454E-6</v>
      </c>
      <c r="N69" s="7">
        <f t="shared" si="20"/>
        <v>9515.841789496546</v>
      </c>
      <c r="O69" s="6">
        <v>5.4874999999999998</v>
      </c>
      <c r="P69" s="6">
        <f t="shared" si="18"/>
        <v>5.4874999999999996E-6</v>
      </c>
      <c r="Q69" s="6">
        <v>0.9748168400747752</v>
      </c>
      <c r="R69" s="6">
        <f t="shared" si="19"/>
        <v>1.7788923051734022</v>
      </c>
      <c r="S69" s="6">
        <f t="shared" si="21"/>
        <v>0.25014965652424676</v>
      </c>
      <c r="T69" s="6">
        <v>0.80594324356383973</v>
      </c>
      <c r="U69" s="6">
        <v>0.31147323984237385</v>
      </c>
      <c r="V69" s="6">
        <v>0.37212808209648268</v>
      </c>
      <c r="AD69" s="7"/>
      <c r="AF69" s="7">
        <v>27</v>
      </c>
      <c r="AG69" s="7">
        <v>48</v>
      </c>
      <c r="AH69" s="7">
        <v>3</v>
      </c>
      <c r="AI69" s="7">
        <v>4.0607500400000003</v>
      </c>
      <c r="AJ69" s="7">
        <v>0.60860625999999995</v>
      </c>
      <c r="AP69" s="6">
        <v>30</v>
      </c>
      <c r="AQ69" s="6">
        <v>48</v>
      </c>
      <c r="AR69" s="6">
        <v>1</v>
      </c>
      <c r="AS69" s="6">
        <v>6.3965123620000002</v>
      </c>
      <c r="BB69" s="6">
        <v>16.276666670000001</v>
      </c>
    </row>
    <row r="70" spans="1:54" s="6" customFormat="1">
      <c r="A70" s="6" t="s">
        <v>193</v>
      </c>
      <c r="B70" s="6">
        <v>30</v>
      </c>
      <c r="C70" s="6">
        <v>48</v>
      </c>
      <c r="D70" s="6">
        <v>2</v>
      </c>
      <c r="E70" s="6">
        <v>15.82</v>
      </c>
      <c r="F70" s="6">
        <v>15.64</v>
      </c>
      <c r="G70" s="6">
        <v>15.76</v>
      </c>
      <c r="H70" s="6">
        <f t="shared" si="14"/>
        <v>15.74</v>
      </c>
      <c r="I70" s="6">
        <f t="shared" si="15"/>
        <v>9.1651513899116605E-2</v>
      </c>
      <c r="J70" s="6">
        <v>1.98</v>
      </c>
      <c r="K70" s="6">
        <v>1.98</v>
      </c>
      <c r="L70" s="6">
        <f t="shared" si="16"/>
        <v>46720.78107977334</v>
      </c>
      <c r="M70" s="6">
        <f t="shared" si="17"/>
        <v>2.1403751754332858E-5</v>
      </c>
      <c r="N70" s="7">
        <f t="shared" si="20"/>
        <v>21403.751754332858</v>
      </c>
      <c r="O70" s="6">
        <v>10.725</v>
      </c>
      <c r="P70" s="6">
        <f t="shared" si="18"/>
        <v>1.0725E-5</v>
      </c>
      <c r="Q70" s="6">
        <v>0.97413548686428764</v>
      </c>
      <c r="R70" s="6">
        <f t="shared" si="19"/>
        <v>2.048675811704451</v>
      </c>
      <c r="S70" s="6">
        <f t="shared" si="21"/>
        <v>0.31147323984237385</v>
      </c>
      <c r="T70" s="6">
        <v>0.37212808209648268</v>
      </c>
      <c r="U70" s="6">
        <v>0.29917224004354698</v>
      </c>
      <c r="V70" s="6">
        <v>0.68429664719741812</v>
      </c>
      <c r="AD70" s="7"/>
      <c r="AF70" s="6">
        <v>30</v>
      </c>
      <c r="AG70" s="6">
        <v>48</v>
      </c>
      <c r="AH70" s="6">
        <v>1</v>
      </c>
      <c r="AI70" s="6">
        <v>2.4967951099999999</v>
      </c>
      <c r="AJ70" s="6">
        <v>0.39738289999999998</v>
      </c>
      <c r="AP70" s="6">
        <v>30</v>
      </c>
      <c r="AQ70" s="6">
        <v>48</v>
      </c>
      <c r="AR70" s="6">
        <v>2</v>
      </c>
      <c r="AS70" s="6">
        <v>2.3557439370000002</v>
      </c>
      <c r="BB70" s="6">
        <v>16.18333333</v>
      </c>
    </row>
    <row r="71" spans="1:54" s="6" customFormat="1">
      <c r="A71" s="6" t="s">
        <v>194</v>
      </c>
      <c r="B71" s="6">
        <v>30</v>
      </c>
      <c r="C71" s="6">
        <v>48</v>
      </c>
      <c r="D71" s="6">
        <v>2</v>
      </c>
      <c r="E71" s="6">
        <v>16.260000000000002</v>
      </c>
      <c r="F71" s="6">
        <v>16.28</v>
      </c>
      <c r="G71" s="6">
        <v>16.29</v>
      </c>
      <c r="H71" s="6">
        <f t="shared" si="14"/>
        <v>16.276666666666667</v>
      </c>
      <c r="I71" s="6">
        <f t="shared" si="15"/>
        <v>1.5275252316518365E-2</v>
      </c>
      <c r="K71" s="6">
        <v>1.98</v>
      </c>
      <c r="L71" s="6">
        <f t="shared" si="16"/>
        <v>67409.39253691984</v>
      </c>
      <c r="M71" s="6">
        <f t="shared" si="17"/>
        <v>1.4834727956527783E-5</v>
      </c>
      <c r="N71" s="7">
        <f t="shared" si="20"/>
        <v>14834.727956527782</v>
      </c>
      <c r="O71" s="6">
        <v>7.6812500000000004</v>
      </c>
      <c r="P71" s="6">
        <f t="shared" si="18"/>
        <v>7.6812500000000004E-6</v>
      </c>
      <c r="Q71" s="6">
        <v>0.9697849637966951</v>
      </c>
      <c r="R71" s="6">
        <f t="shared" si="19"/>
        <v>1.9914629913481272</v>
      </c>
      <c r="S71" s="6">
        <f t="shared" si="21"/>
        <v>0.29917224004354698</v>
      </c>
      <c r="T71" s="6">
        <v>0.68429664719741812</v>
      </c>
      <c r="U71" s="6">
        <v>0.46045388603424475</v>
      </c>
      <c r="V71" s="6">
        <v>0.38837912719265288</v>
      </c>
      <c r="AF71" s="6">
        <v>30</v>
      </c>
      <c r="AG71" s="6">
        <v>48</v>
      </c>
      <c r="AH71" s="6">
        <v>1</v>
      </c>
      <c r="AI71" s="6">
        <v>1.8263041</v>
      </c>
      <c r="AJ71" s="6">
        <v>0.2615731</v>
      </c>
      <c r="AP71" s="6">
        <v>30</v>
      </c>
      <c r="AQ71" s="6">
        <v>48</v>
      </c>
      <c r="AR71" s="6">
        <v>2</v>
      </c>
      <c r="AS71" s="6">
        <v>4.8338887069999998</v>
      </c>
      <c r="BB71" s="6">
        <v>17.13</v>
      </c>
    </row>
    <row r="72" spans="1:54" s="6" customFormat="1">
      <c r="A72" s="6" t="s">
        <v>163</v>
      </c>
      <c r="B72" s="6">
        <v>30</v>
      </c>
      <c r="C72" s="6">
        <v>48</v>
      </c>
      <c r="D72" s="6">
        <v>3</v>
      </c>
      <c r="E72" s="6">
        <v>16.14</v>
      </c>
      <c r="F72" s="6">
        <v>16.190000000000001</v>
      </c>
      <c r="G72" s="6">
        <v>16.22</v>
      </c>
      <c r="H72" s="6">
        <f t="shared" si="14"/>
        <v>16.183333333333334</v>
      </c>
      <c r="I72" s="6">
        <f t="shared" si="15"/>
        <v>4.0414518843273087E-2</v>
      </c>
      <c r="K72" s="6">
        <v>1.98</v>
      </c>
      <c r="L72" s="6">
        <f t="shared" si="16"/>
        <v>63245.795927583575</v>
      </c>
      <c r="M72" s="6">
        <f t="shared" si="17"/>
        <v>1.5811327620020781E-5</v>
      </c>
      <c r="N72" s="7">
        <f t="shared" si="20"/>
        <v>15811.327620020782</v>
      </c>
      <c r="O72" s="6">
        <v>5.7249999999999996</v>
      </c>
      <c r="P72" s="6">
        <f t="shared" si="18"/>
        <v>5.7249999999999994E-6</v>
      </c>
      <c r="Q72" s="6">
        <v>0.95661890780070358</v>
      </c>
      <c r="R72" s="6">
        <f t="shared" si="19"/>
        <v>2.8870472124001876</v>
      </c>
      <c r="S72" s="6">
        <f t="shared" si="21"/>
        <v>0.46045388603424475</v>
      </c>
      <c r="T72" s="6">
        <v>0.24883406880971123</v>
      </c>
      <c r="U72" s="6">
        <v>0.18927256202725351</v>
      </c>
      <c r="V72" s="6">
        <v>0.4055586403115648</v>
      </c>
      <c r="AF72" s="6">
        <v>30</v>
      </c>
      <c r="AG72" s="6">
        <v>48</v>
      </c>
      <c r="AH72" s="6">
        <v>1</v>
      </c>
      <c r="AI72" s="6">
        <v>1.77889231</v>
      </c>
      <c r="AJ72" s="6">
        <v>0.25014966</v>
      </c>
      <c r="AP72" s="6">
        <v>30</v>
      </c>
      <c r="AQ72" s="6">
        <v>48</v>
      </c>
      <c r="AR72" s="6">
        <v>2</v>
      </c>
      <c r="AS72" s="6">
        <v>1.773511745</v>
      </c>
    </row>
    <row r="73" spans="1:54" s="6" customFormat="1">
      <c r="A73" s="6" t="s">
        <v>65</v>
      </c>
      <c r="B73" s="6">
        <v>30</v>
      </c>
      <c r="C73" s="6">
        <v>48</v>
      </c>
      <c r="D73" s="6">
        <v>3</v>
      </c>
      <c r="E73" s="6">
        <v>17.14</v>
      </c>
      <c r="F73" s="6">
        <v>17.12</v>
      </c>
      <c r="G73" s="6">
        <v>17.13</v>
      </c>
      <c r="H73" s="6">
        <f t="shared" si="14"/>
        <v>17.13</v>
      </c>
      <c r="I73" s="6">
        <f t="shared" si="15"/>
        <v>9.9999999999997868E-3</v>
      </c>
      <c r="K73" s="6">
        <v>1.98</v>
      </c>
      <c r="L73" s="6">
        <f t="shared" si="16"/>
        <v>120746.54397997622</v>
      </c>
      <c r="M73" s="6">
        <f t="shared" si="17"/>
        <v>8.2818105350148424E-6</v>
      </c>
      <c r="N73" s="7">
        <f t="shared" si="20"/>
        <v>8281.8105350148417</v>
      </c>
      <c r="O73" s="6">
        <v>5.59375</v>
      </c>
      <c r="P73" s="6">
        <f t="shared" si="18"/>
        <v>5.5937499999999996E-6</v>
      </c>
      <c r="Q73" s="6">
        <v>0.95752401745799209</v>
      </c>
      <c r="R73" s="6">
        <f t="shared" si="19"/>
        <v>1.5462245413768021</v>
      </c>
      <c r="S73" s="6">
        <f t="shared" si="21"/>
        <v>0.18927256202725351</v>
      </c>
      <c r="T73" s="6">
        <v>0.38837912719265288</v>
      </c>
      <c r="AF73" s="6">
        <v>30</v>
      </c>
      <c r="AG73" s="6">
        <v>48</v>
      </c>
      <c r="AH73" s="6">
        <v>2</v>
      </c>
      <c r="AI73" s="6">
        <v>2.0486758100000002</v>
      </c>
      <c r="AJ73" s="6">
        <v>0.31147323999999998</v>
      </c>
      <c r="AP73" s="6">
        <v>30</v>
      </c>
      <c r="AQ73" s="6">
        <v>48</v>
      </c>
      <c r="AR73" s="6">
        <v>3</v>
      </c>
      <c r="AS73" s="6">
        <v>2.4455645320000001</v>
      </c>
    </row>
    <row r="74" spans="1:54">
      <c r="B74" s="23"/>
      <c r="C74" s="23"/>
      <c r="D74" s="23"/>
      <c r="E74" s="23"/>
      <c r="F74" s="23"/>
      <c r="G74" s="23" t="s">
        <v>257</v>
      </c>
      <c r="H74" s="23">
        <f>AVERAGE(H2:H73)</f>
        <v>16.654930555555559</v>
      </c>
      <c r="I74" s="6">
        <f>MIN(H2:H73)</f>
        <v>14.51</v>
      </c>
      <c r="J74" s="23"/>
      <c r="K74" s="23">
        <f>AVERAGE(K8:K73)</f>
        <v>1.8918181818181836</v>
      </c>
      <c r="L74" s="23">
        <f>AVERAGE(L8:L73)</f>
        <v>57336.341873177022</v>
      </c>
      <c r="M74" s="23" t="s">
        <v>132</v>
      </c>
      <c r="N74" s="23"/>
      <c r="O74" s="23">
        <f>AVERAGE(O2:O73)</f>
        <v>6.470312500000003</v>
      </c>
      <c r="P74" s="7"/>
      <c r="Q74" s="23" t="s">
        <v>132</v>
      </c>
      <c r="R74" s="23">
        <f>AVERAGE(R2:R73)</f>
        <v>7.0624341482286219</v>
      </c>
      <c r="S74" s="6"/>
      <c r="T74">
        <v>0.4055586403115648</v>
      </c>
      <c r="U74" s="6"/>
      <c r="AD74" s="6"/>
      <c r="AF74" s="6">
        <v>30</v>
      </c>
      <c r="AG74" s="6">
        <v>48</v>
      </c>
      <c r="AH74" s="6">
        <v>2</v>
      </c>
      <c r="AI74" s="6">
        <v>1.99146299</v>
      </c>
      <c r="AJ74" s="6">
        <v>0.29917223999999998</v>
      </c>
      <c r="AP74">
        <v>30</v>
      </c>
      <c r="AQ74">
        <v>48</v>
      </c>
      <c r="AR74">
        <v>3</v>
      </c>
      <c r="AS74">
        <v>2.5442433050000002</v>
      </c>
    </row>
    <row r="75" spans="1:54">
      <c r="B75" s="23"/>
      <c r="C75" s="23"/>
      <c r="D75" s="23"/>
      <c r="E75" s="23"/>
      <c r="F75" s="23"/>
      <c r="G75" s="23" t="s">
        <v>135</v>
      </c>
      <c r="H75" s="23">
        <f>STDEV(H2:H73)</f>
        <v>1.185406912878509</v>
      </c>
      <c r="I75" s="6">
        <f>MAX(H2:H73)</f>
        <v>20.81</v>
      </c>
      <c r="J75" s="23"/>
      <c r="K75" s="25">
        <v>0.9</v>
      </c>
      <c r="L75" s="23"/>
      <c r="M75" s="23" t="s">
        <v>135</v>
      </c>
      <c r="N75" s="23"/>
      <c r="O75" s="23">
        <f>STDEV(O2:O73)</f>
        <v>2.6062037689688187</v>
      </c>
      <c r="P75" s="7"/>
      <c r="Q75" s="23" t="s">
        <v>135</v>
      </c>
      <c r="R75" s="23">
        <f>STDEV(R2:R73)</f>
        <v>5.8474445868715508</v>
      </c>
      <c r="AD75" s="6"/>
      <c r="AF75" s="6">
        <v>30</v>
      </c>
      <c r="AG75" s="6">
        <v>48</v>
      </c>
      <c r="AH75" s="6">
        <v>3</v>
      </c>
      <c r="AI75" s="6">
        <v>2.88704721</v>
      </c>
      <c r="AJ75" s="6">
        <v>0.46045388999999998</v>
      </c>
    </row>
    <row r="76" spans="1:54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 t="s">
        <v>135</v>
      </c>
      <c r="L76" s="23">
        <f>STDEV(L2:L73)</f>
        <v>62706.133530269748</v>
      </c>
      <c r="M76" s="23"/>
      <c r="N76" s="23"/>
      <c r="O76" s="23">
        <f>O75/O74*100</f>
        <v>40.279411063512271</v>
      </c>
      <c r="P76" s="7"/>
      <c r="AD76" s="6"/>
      <c r="AF76" s="6">
        <v>30</v>
      </c>
      <c r="AG76" s="6">
        <v>48</v>
      </c>
      <c r="AH76" s="6">
        <v>3</v>
      </c>
      <c r="AI76" s="6">
        <v>1.5462245400000001</v>
      </c>
      <c r="AJ76" s="6">
        <v>0.18927256000000001</v>
      </c>
    </row>
    <row r="77" spans="1:54">
      <c r="A77" s="23"/>
      <c r="B77" s="23"/>
      <c r="C77" s="23"/>
      <c r="D77" s="23"/>
      <c r="E77" s="23" t="s">
        <v>72</v>
      </c>
      <c r="F77" s="23" t="s">
        <v>71</v>
      </c>
      <c r="G77" s="23"/>
      <c r="H77" s="23"/>
      <c r="I77" s="23"/>
      <c r="J77" s="23"/>
      <c r="K77" s="23" t="s">
        <v>136</v>
      </c>
      <c r="L77" s="23">
        <f>L76/SQRT(80)</f>
        <v>7010.7588589931011</v>
      </c>
      <c r="M77" s="23"/>
      <c r="N77" s="23"/>
      <c r="O77" s="23"/>
      <c r="AD77" s="6"/>
    </row>
    <row r="78" spans="1:54">
      <c r="A78" s="23"/>
      <c r="B78" s="23"/>
      <c r="C78" s="23"/>
      <c r="D78" s="23"/>
      <c r="E78" s="23" t="s">
        <v>164</v>
      </c>
      <c r="F78" s="23"/>
      <c r="G78" s="23"/>
      <c r="H78" s="23"/>
      <c r="I78" s="23"/>
      <c r="J78" s="23"/>
      <c r="K78" s="23" t="s">
        <v>275</v>
      </c>
      <c r="L78" s="23">
        <f>L77/L74*100</f>
        <v>12.2274261488469</v>
      </c>
      <c r="M78" s="23"/>
      <c r="N78" s="23"/>
      <c r="O78" s="23"/>
    </row>
    <row r="79" spans="1:54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0" spans="1:54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</row>
  </sheetData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A9" sqref="A9"/>
    </sheetView>
  </sheetViews>
  <sheetFormatPr baseColWidth="10" defaultRowHeight="13" x14ac:dyDescent="0"/>
  <cols>
    <col min="1" max="1" width="28.5703125" bestFit="1" customWidth="1"/>
    <col min="5" max="5" width="23.140625" bestFit="1" customWidth="1"/>
  </cols>
  <sheetData>
    <row r="1" spans="1:8">
      <c r="A1" t="s">
        <v>480</v>
      </c>
      <c r="B1" t="s">
        <v>464</v>
      </c>
      <c r="C1" t="s">
        <v>463</v>
      </c>
      <c r="F1" t="s">
        <v>560</v>
      </c>
      <c r="H1" t="s">
        <v>561</v>
      </c>
    </row>
    <row r="2" spans="1:8">
      <c r="A2" s="23" t="s">
        <v>482</v>
      </c>
      <c r="B2" s="23">
        <v>1</v>
      </c>
      <c r="C2" s="7">
        <f t="shared" ref="C2:C27" si="0">B2/295*100</f>
        <v>0.33898305084745761</v>
      </c>
      <c r="E2" t="s">
        <v>470</v>
      </c>
      <c r="F2">
        <v>3</v>
      </c>
      <c r="H2">
        <v>3</v>
      </c>
    </row>
    <row r="3" spans="1:8">
      <c r="A3" s="23" t="s">
        <v>483</v>
      </c>
      <c r="B3" s="23">
        <v>1</v>
      </c>
      <c r="C3" s="7">
        <f t="shared" si="0"/>
        <v>0.33898305084745761</v>
      </c>
      <c r="E3" t="s">
        <v>563</v>
      </c>
      <c r="F3">
        <v>4</v>
      </c>
      <c r="H3">
        <v>5</v>
      </c>
    </row>
    <row r="4" spans="1:8">
      <c r="A4" s="23" t="s">
        <v>470</v>
      </c>
      <c r="B4" s="23">
        <v>3</v>
      </c>
      <c r="C4" s="7">
        <f t="shared" si="0"/>
        <v>1.0169491525423728</v>
      </c>
      <c r="E4" t="s">
        <v>472</v>
      </c>
      <c r="F4">
        <v>7</v>
      </c>
      <c r="H4">
        <v>9</v>
      </c>
    </row>
    <row r="5" spans="1:8">
      <c r="A5" s="23" t="s">
        <v>473</v>
      </c>
      <c r="B5" s="23">
        <v>4</v>
      </c>
      <c r="C5" s="7">
        <f>B5/295*100</f>
        <v>1.3559322033898304</v>
      </c>
      <c r="E5" t="s">
        <v>564</v>
      </c>
      <c r="F5">
        <v>10</v>
      </c>
      <c r="H5">
        <v>11</v>
      </c>
    </row>
    <row r="6" spans="1:8">
      <c r="A6" s="23" t="s">
        <v>471</v>
      </c>
      <c r="B6" s="23">
        <v>5</v>
      </c>
      <c r="C6" s="7">
        <f t="shared" si="0"/>
        <v>1.6949152542372881</v>
      </c>
      <c r="E6" t="s">
        <v>474</v>
      </c>
      <c r="F6">
        <v>7</v>
      </c>
      <c r="H6">
        <v>7</v>
      </c>
    </row>
    <row r="7" spans="1:8">
      <c r="A7" s="23" t="s">
        <v>481</v>
      </c>
      <c r="B7" s="23">
        <v>6</v>
      </c>
      <c r="C7" s="7">
        <f t="shared" si="0"/>
        <v>2.0338983050847457</v>
      </c>
      <c r="E7" t="s">
        <v>565</v>
      </c>
      <c r="F7">
        <v>2</v>
      </c>
      <c r="H7">
        <v>2</v>
      </c>
    </row>
    <row r="8" spans="1:8">
      <c r="A8" s="23" t="s">
        <v>474</v>
      </c>
      <c r="B8" s="23">
        <v>7</v>
      </c>
      <c r="C8" s="7">
        <f t="shared" si="0"/>
        <v>2.3728813559322033</v>
      </c>
      <c r="E8" t="s">
        <v>483</v>
      </c>
      <c r="F8">
        <v>1</v>
      </c>
      <c r="H8">
        <v>1</v>
      </c>
    </row>
    <row r="9" spans="1:8">
      <c r="A9" s="23" t="s">
        <v>472</v>
      </c>
      <c r="B9" s="23">
        <v>7</v>
      </c>
      <c r="C9" s="7">
        <f t="shared" si="0"/>
        <v>2.3728813559322033</v>
      </c>
    </row>
    <row r="10" spans="1:8">
      <c r="A10" s="23" t="s">
        <v>475</v>
      </c>
      <c r="B10" s="23">
        <v>7</v>
      </c>
      <c r="C10" s="7">
        <f t="shared" si="0"/>
        <v>2.3728813559322033</v>
      </c>
    </row>
    <row r="11" spans="1:8">
      <c r="A11" s="23" t="s">
        <v>485</v>
      </c>
      <c r="B11" s="23">
        <v>8</v>
      </c>
      <c r="C11" s="7">
        <f t="shared" si="0"/>
        <v>2.7118644067796609</v>
      </c>
      <c r="E11" s="23" t="s">
        <v>475</v>
      </c>
      <c r="F11" s="23">
        <v>8</v>
      </c>
      <c r="G11" s="7">
        <f>F11/295*100</f>
        <v>2.7118644067796609</v>
      </c>
      <c r="H11">
        <v>9</v>
      </c>
    </row>
    <row r="12" spans="1:8">
      <c r="A12" s="23" t="s">
        <v>477</v>
      </c>
      <c r="B12" s="23">
        <v>8</v>
      </c>
      <c r="C12" s="7">
        <f t="shared" si="0"/>
        <v>2.7118644067796609</v>
      </c>
      <c r="E12" s="23" t="s">
        <v>485</v>
      </c>
      <c r="F12" s="23">
        <v>8</v>
      </c>
      <c r="G12" s="7">
        <f t="shared" ref="G12:G28" si="1">F12/295*100</f>
        <v>2.7118644067796609</v>
      </c>
      <c r="H12">
        <v>8</v>
      </c>
    </row>
    <row r="13" spans="1:8">
      <c r="A13" s="23" t="s">
        <v>456</v>
      </c>
      <c r="B13" s="23">
        <v>8</v>
      </c>
      <c r="C13" s="7">
        <f t="shared" si="0"/>
        <v>2.7118644067796609</v>
      </c>
      <c r="E13" s="23" t="s">
        <v>477</v>
      </c>
      <c r="F13" s="23">
        <v>8</v>
      </c>
      <c r="G13" s="7">
        <f>H13/295*100</f>
        <v>1.3559322033898304</v>
      </c>
      <c r="H13">
        <v>4</v>
      </c>
    </row>
    <row r="14" spans="1:8">
      <c r="A14" s="23" t="s">
        <v>457</v>
      </c>
      <c r="B14" s="23">
        <v>9</v>
      </c>
      <c r="C14" s="7">
        <f t="shared" si="0"/>
        <v>3.050847457627119</v>
      </c>
      <c r="E14" s="23" t="s">
        <v>456</v>
      </c>
      <c r="F14" s="23">
        <v>8</v>
      </c>
      <c r="G14" s="7">
        <f t="shared" si="1"/>
        <v>2.7118644067796609</v>
      </c>
      <c r="H14">
        <v>9</v>
      </c>
    </row>
    <row r="15" spans="1:8">
      <c r="A15" s="23" t="s">
        <v>479</v>
      </c>
      <c r="B15" s="23">
        <v>10</v>
      </c>
      <c r="C15" s="7">
        <f t="shared" si="0"/>
        <v>3.3898305084745761</v>
      </c>
      <c r="E15" s="23" t="s">
        <v>457</v>
      </c>
      <c r="F15" s="23">
        <v>9</v>
      </c>
      <c r="G15" s="7">
        <f t="shared" si="1"/>
        <v>3.050847457627119</v>
      </c>
      <c r="H15">
        <v>14</v>
      </c>
    </row>
    <row r="16" spans="1:8">
      <c r="A16" s="23" t="s">
        <v>486</v>
      </c>
      <c r="B16" s="23">
        <v>10</v>
      </c>
      <c r="C16" s="7">
        <f t="shared" si="0"/>
        <v>3.3898305084745761</v>
      </c>
      <c r="E16" s="23" t="s">
        <v>479</v>
      </c>
      <c r="F16" s="23">
        <v>10</v>
      </c>
      <c r="G16" s="7">
        <f t="shared" si="1"/>
        <v>3.3898305084745761</v>
      </c>
      <c r="H16">
        <v>11</v>
      </c>
    </row>
    <row r="17" spans="1:8">
      <c r="A17" s="23" t="s">
        <v>459</v>
      </c>
      <c r="B17" s="23">
        <v>12</v>
      </c>
      <c r="C17" s="7">
        <f t="shared" si="0"/>
        <v>4.0677966101694913</v>
      </c>
      <c r="E17" s="23" t="s">
        <v>486</v>
      </c>
      <c r="F17" s="23">
        <v>10</v>
      </c>
      <c r="G17" s="7">
        <f t="shared" si="1"/>
        <v>3.3898305084745761</v>
      </c>
      <c r="H17" s="31">
        <v>46</v>
      </c>
    </row>
    <row r="18" spans="1:8">
      <c r="A18" s="23" t="s">
        <v>478</v>
      </c>
      <c r="B18" s="23">
        <v>14</v>
      </c>
      <c r="C18" s="7">
        <f t="shared" si="0"/>
        <v>4.7457627118644066</v>
      </c>
      <c r="D18">
        <f>SUM(C2:C17)</f>
        <v>35.932203389830505</v>
      </c>
      <c r="E18" s="23" t="s">
        <v>459</v>
      </c>
      <c r="F18" s="23">
        <v>12</v>
      </c>
      <c r="G18" s="7">
        <f t="shared" si="1"/>
        <v>4.0677966101694913</v>
      </c>
      <c r="H18" s="31">
        <v>19</v>
      </c>
    </row>
    <row r="19" spans="1:8">
      <c r="A19" s="23" t="s">
        <v>454</v>
      </c>
      <c r="B19" s="23">
        <v>15</v>
      </c>
      <c r="C19" s="7">
        <f>B19/295*100</f>
        <v>5.0847457627118651</v>
      </c>
      <c r="E19" s="31" t="s">
        <v>478</v>
      </c>
      <c r="F19" s="31">
        <v>14</v>
      </c>
      <c r="G19" s="10">
        <f>F19/295*100</f>
        <v>4.7457627118644066</v>
      </c>
      <c r="H19" s="31">
        <v>38</v>
      </c>
    </row>
    <row r="20" spans="1:8">
      <c r="A20" s="23" t="s">
        <v>455</v>
      </c>
      <c r="B20" s="23">
        <v>16</v>
      </c>
      <c r="C20" s="7">
        <f>B20/295*100</f>
        <v>5.4237288135593218</v>
      </c>
      <c r="E20" s="31" t="s">
        <v>476</v>
      </c>
      <c r="F20" s="31">
        <v>18</v>
      </c>
      <c r="G20" s="10">
        <f t="shared" si="1"/>
        <v>6.1016949152542379</v>
      </c>
      <c r="H20">
        <v>15</v>
      </c>
    </row>
    <row r="21" spans="1:8">
      <c r="A21" s="23" t="s">
        <v>487</v>
      </c>
      <c r="B21" s="23">
        <v>17</v>
      </c>
      <c r="C21" s="7">
        <f>B21/295*100</f>
        <v>5.7627118644067794</v>
      </c>
      <c r="E21" s="31" t="s">
        <v>454</v>
      </c>
      <c r="F21" s="31">
        <v>15</v>
      </c>
      <c r="G21" s="10">
        <f t="shared" si="1"/>
        <v>5.0847457627118651</v>
      </c>
      <c r="H21">
        <v>16</v>
      </c>
    </row>
    <row r="22" spans="1:8">
      <c r="A22" s="23" t="s">
        <v>488</v>
      </c>
      <c r="B22" s="23">
        <v>18</v>
      </c>
      <c r="C22" s="7">
        <f>B22/295*100</f>
        <v>6.1016949152542379</v>
      </c>
      <c r="E22" s="31" t="s">
        <v>455</v>
      </c>
      <c r="F22" s="31">
        <v>16</v>
      </c>
      <c r="G22" s="10">
        <f t="shared" si="1"/>
        <v>5.4237288135593218</v>
      </c>
      <c r="H22" s="31">
        <v>72</v>
      </c>
    </row>
    <row r="23" spans="1:8">
      <c r="A23" s="23" t="s">
        <v>467</v>
      </c>
      <c r="B23" s="23">
        <v>18</v>
      </c>
      <c r="C23" s="7">
        <f t="shared" si="0"/>
        <v>6.1016949152542379</v>
      </c>
      <c r="E23" s="31" t="s">
        <v>467</v>
      </c>
      <c r="F23" s="31">
        <v>18</v>
      </c>
      <c r="G23" s="10">
        <f>F23/295*100</f>
        <v>6.1016949152542379</v>
      </c>
      <c r="H23">
        <v>22</v>
      </c>
    </row>
    <row r="24" spans="1:8">
      <c r="A24" s="23" t="s">
        <v>468</v>
      </c>
      <c r="B24" s="23">
        <v>18</v>
      </c>
      <c r="C24" s="7">
        <f>B24/295*100</f>
        <v>6.1016949152542379</v>
      </c>
      <c r="E24" s="31" t="s">
        <v>487</v>
      </c>
      <c r="F24" s="31">
        <v>17</v>
      </c>
      <c r="G24" s="10">
        <f t="shared" si="1"/>
        <v>5.7627118644067794</v>
      </c>
      <c r="H24" s="31">
        <v>20</v>
      </c>
    </row>
    <row r="25" spans="1:8">
      <c r="A25" s="23" t="s">
        <v>460</v>
      </c>
      <c r="B25" s="23">
        <v>20</v>
      </c>
      <c r="C25" s="7">
        <f t="shared" si="0"/>
        <v>6.7796610169491522</v>
      </c>
      <c r="E25" s="31" t="s">
        <v>460</v>
      </c>
      <c r="F25" s="31">
        <v>20</v>
      </c>
      <c r="G25" s="10">
        <f t="shared" si="1"/>
        <v>6.7796610169491522</v>
      </c>
      <c r="H25" s="31">
        <v>22</v>
      </c>
    </row>
    <row r="26" spans="1:8">
      <c r="A26" s="23" t="s">
        <v>484</v>
      </c>
      <c r="B26" s="23">
        <v>27</v>
      </c>
      <c r="C26" s="7">
        <f t="shared" si="0"/>
        <v>9.1525423728813564</v>
      </c>
      <c r="E26" s="31" t="s">
        <v>468</v>
      </c>
      <c r="F26" s="31">
        <v>18</v>
      </c>
      <c r="G26" s="10">
        <f t="shared" si="1"/>
        <v>6.1016949152542379</v>
      </c>
      <c r="H26" s="31">
        <v>22</v>
      </c>
    </row>
    <row r="27" spans="1:8">
      <c r="A27" s="23" t="s">
        <v>469</v>
      </c>
      <c r="B27" s="23">
        <v>27</v>
      </c>
      <c r="C27" s="7">
        <f t="shared" si="0"/>
        <v>9.1525423728813564</v>
      </c>
      <c r="E27" s="31" t="s">
        <v>484</v>
      </c>
      <c r="F27" s="31">
        <v>27</v>
      </c>
      <c r="G27" s="10">
        <f t="shared" si="1"/>
        <v>9.1525423728813564</v>
      </c>
      <c r="H27" s="31">
        <v>35</v>
      </c>
    </row>
    <row r="28" spans="1:8">
      <c r="A28" s="23" t="s">
        <v>465</v>
      </c>
      <c r="B28" s="23">
        <f>SUM(B2:B27)</f>
        <v>296</v>
      </c>
      <c r="C28" s="7"/>
      <c r="E28" s="31" t="s">
        <v>469</v>
      </c>
      <c r="F28" s="31">
        <v>27</v>
      </c>
      <c r="G28" s="10">
        <f t="shared" si="1"/>
        <v>9.1525423728813564</v>
      </c>
      <c r="H28" s="31">
        <v>41</v>
      </c>
    </row>
    <row r="29" spans="1:8">
      <c r="A29" s="23" t="s">
        <v>490</v>
      </c>
      <c r="B29" s="23">
        <v>106</v>
      </c>
      <c r="E29" s="31" t="s">
        <v>489</v>
      </c>
      <c r="F29" s="31">
        <f>SUM(B2:B17)</f>
        <v>106</v>
      </c>
      <c r="G29" s="10">
        <f>D18</f>
        <v>35.932203389830505</v>
      </c>
    </row>
    <row r="30" spans="1:8">
      <c r="A30" s="23" t="s">
        <v>491</v>
      </c>
      <c r="B30">
        <f>SUM(B28:B29)</f>
        <v>402</v>
      </c>
      <c r="E30" s="23"/>
    </row>
    <row r="31" spans="1:8">
      <c r="A31" s="23" t="s">
        <v>492</v>
      </c>
      <c r="B31">
        <f>B28/B30*100</f>
        <v>73.631840796019901</v>
      </c>
      <c r="E31" s="23" t="s">
        <v>455</v>
      </c>
      <c r="F31" s="31">
        <v>72</v>
      </c>
      <c r="G31">
        <f>F31/F44*100</f>
        <v>15.61822125813449</v>
      </c>
    </row>
    <row r="32" spans="1:8">
      <c r="A32" s="23" t="s">
        <v>493</v>
      </c>
      <c r="B32">
        <f>277/295*100</f>
        <v>93.898305084745758</v>
      </c>
      <c r="E32" s="23" t="s">
        <v>486</v>
      </c>
      <c r="F32">
        <v>46</v>
      </c>
      <c r="G32">
        <f>F32/F44*100</f>
        <v>9.9783080260303691</v>
      </c>
    </row>
    <row r="33" spans="5:10">
      <c r="E33" s="23" t="s">
        <v>469</v>
      </c>
      <c r="F33" s="31">
        <v>41</v>
      </c>
      <c r="G33">
        <f>F33/F44*100</f>
        <v>8.8937093275488071</v>
      </c>
      <c r="I33" t="s">
        <v>567</v>
      </c>
      <c r="J33">
        <v>461</v>
      </c>
    </row>
    <row r="34" spans="5:10">
      <c r="E34" s="23" t="s">
        <v>478</v>
      </c>
      <c r="F34">
        <v>38</v>
      </c>
      <c r="G34">
        <f>F34/F44*100</f>
        <v>8.2429501084598709</v>
      </c>
      <c r="I34" t="s">
        <v>568</v>
      </c>
      <c r="J34">
        <v>131</v>
      </c>
    </row>
    <row r="35" spans="5:10">
      <c r="E35" s="23" t="s">
        <v>562</v>
      </c>
      <c r="F35" s="31">
        <v>35</v>
      </c>
      <c r="G35">
        <f>F35/F44*100</f>
        <v>7.5921908893709329</v>
      </c>
      <c r="I35" t="s">
        <v>465</v>
      </c>
      <c r="J35">
        <f>SUM(J33:J34)</f>
        <v>592</v>
      </c>
    </row>
    <row r="36" spans="5:10">
      <c r="E36" s="23" t="s">
        <v>468</v>
      </c>
      <c r="F36">
        <v>22</v>
      </c>
      <c r="G36">
        <f>F36/F44*100</f>
        <v>4.7722342733188716</v>
      </c>
      <c r="I36" t="s">
        <v>569</v>
      </c>
      <c r="J36">
        <f>461/592*100</f>
        <v>77.871621621621628</v>
      </c>
    </row>
    <row r="37" spans="5:10">
      <c r="E37" s="23" t="s">
        <v>460</v>
      </c>
      <c r="F37" s="31">
        <v>22</v>
      </c>
      <c r="G37">
        <f t="shared" ref="G37:G38" si="2">F37/F50*100</f>
        <v>4.7722342733188716</v>
      </c>
    </row>
    <row r="38" spans="5:10">
      <c r="E38" s="23" t="s">
        <v>487</v>
      </c>
      <c r="F38">
        <v>20</v>
      </c>
      <c r="G38">
        <f t="shared" si="2"/>
        <v>4.3383947939262475</v>
      </c>
    </row>
    <row r="39" spans="5:10">
      <c r="E39" s="23" t="s">
        <v>459</v>
      </c>
      <c r="F39" s="31">
        <v>19</v>
      </c>
      <c r="G39">
        <f>F39/F44*100</f>
        <v>4.1214750542299354</v>
      </c>
    </row>
    <row r="40" spans="5:10">
      <c r="E40" s="23" t="s">
        <v>467</v>
      </c>
      <c r="F40">
        <v>22</v>
      </c>
      <c r="G40">
        <f t="shared" ref="G40:G43" si="3">F40/F45*100</f>
        <v>4.7722342733188716</v>
      </c>
      <c r="I40">
        <f>461-22</f>
        <v>439</v>
      </c>
    </row>
    <row r="41" spans="5:10">
      <c r="E41" s="23"/>
      <c r="F41" s="31"/>
      <c r="I41">
        <f>439/461*100</f>
        <v>95.227765726681127</v>
      </c>
    </row>
    <row r="42" spans="5:10">
      <c r="E42" s="23"/>
    </row>
    <row r="43" spans="5:10">
      <c r="E43" s="23" t="s">
        <v>489</v>
      </c>
      <c r="F43">
        <v>124</v>
      </c>
      <c r="G43">
        <f t="shared" si="3"/>
        <v>26.898047722342731</v>
      </c>
    </row>
    <row r="44" spans="5:10">
      <c r="E44" s="23" t="s">
        <v>566</v>
      </c>
      <c r="F44">
        <f>SUM(F31:F43)</f>
        <v>461</v>
      </c>
      <c r="G44">
        <f>SUM(G31:G43)</f>
        <v>100</v>
      </c>
    </row>
    <row r="45" spans="5:10">
      <c r="F45">
        <v>461</v>
      </c>
    </row>
    <row r="46" spans="5:10">
      <c r="F46">
        <v>461</v>
      </c>
    </row>
    <row r="47" spans="5:10">
      <c r="F47">
        <v>461</v>
      </c>
    </row>
    <row r="48" spans="5:10">
      <c r="F48">
        <v>461</v>
      </c>
    </row>
    <row r="49" spans="6:6">
      <c r="F49">
        <v>461</v>
      </c>
    </row>
    <row r="50" spans="6:6">
      <c r="F50">
        <v>461</v>
      </c>
    </row>
    <row r="51" spans="6:6">
      <c r="F51">
        <v>461</v>
      </c>
    </row>
  </sheetData>
  <sortState ref="A2:C28">
    <sortCondition ref="C2:C28"/>
  </sortState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D8" sqref="D8"/>
    </sheetView>
  </sheetViews>
  <sheetFormatPr baseColWidth="10" defaultRowHeight="13" x14ac:dyDescent="0"/>
  <cols>
    <col min="1" max="1" width="15.7109375" bestFit="1" customWidth="1"/>
    <col min="7" max="7" width="15.85546875" bestFit="1" customWidth="1"/>
  </cols>
  <sheetData>
    <row r="1" spans="1:8">
      <c r="A1" s="10" t="s">
        <v>458</v>
      </c>
      <c r="B1" s="7" t="s">
        <v>463</v>
      </c>
      <c r="C1" s="7" t="s">
        <v>570</v>
      </c>
      <c r="D1" t="s">
        <v>571</v>
      </c>
    </row>
    <row r="2" spans="1:8">
      <c r="A2" s="7" t="s">
        <v>455</v>
      </c>
      <c r="B2" s="7">
        <f>1/33*100</f>
        <v>3.0303030303030303</v>
      </c>
      <c r="C2" s="7">
        <v>1</v>
      </c>
      <c r="D2">
        <v>1</v>
      </c>
      <c r="E2">
        <f>1/44*100</f>
        <v>2.2727272727272729</v>
      </c>
      <c r="G2" s="7" t="s">
        <v>469</v>
      </c>
      <c r="H2">
        <f>15/44*100</f>
        <v>34.090909090909086</v>
      </c>
    </row>
    <row r="3" spans="1:8">
      <c r="A3" s="7" t="s">
        <v>459</v>
      </c>
      <c r="B3" s="7">
        <v>6.06</v>
      </c>
      <c r="C3" s="7">
        <v>1</v>
      </c>
      <c r="D3">
        <v>1</v>
      </c>
      <c r="E3">
        <f>1/44*100</f>
        <v>2.2727272727272729</v>
      </c>
      <c r="G3" s="6" t="s">
        <v>461</v>
      </c>
      <c r="H3">
        <f>9/44*100</f>
        <v>20.454545454545457</v>
      </c>
    </row>
    <row r="4" spans="1:8">
      <c r="A4" s="7" t="s">
        <v>469</v>
      </c>
      <c r="B4" s="7">
        <f>10/33*100</f>
        <v>30.303030303030305</v>
      </c>
      <c r="C4" s="7">
        <v>11</v>
      </c>
      <c r="D4">
        <v>15</v>
      </c>
      <c r="E4" s="31">
        <f>15/44*100</f>
        <v>34.090909090909086</v>
      </c>
      <c r="G4" s="6" t="s">
        <v>460</v>
      </c>
      <c r="H4">
        <f>6/44*100</f>
        <v>13.636363636363635</v>
      </c>
    </row>
    <row r="5" spans="1:8">
      <c r="A5" s="6" t="s">
        <v>460</v>
      </c>
      <c r="B5" s="6">
        <f>5/33*100</f>
        <v>15.151515151515152</v>
      </c>
      <c r="C5" s="6">
        <v>4</v>
      </c>
      <c r="D5">
        <v>6</v>
      </c>
      <c r="E5" s="31">
        <f>6/44*100</f>
        <v>13.636363636363635</v>
      </c>
      <c r="G5" t="s">
        <v>479</v>
      </c>
      <c r="H5">
        <f>3/44*100</f>
        <v>6.8181818181818175</v>
      </c>
    </row>
    <row r="6" spans="1:8">
      <c r="A6" s="6" t="s">
        <v>461</v>
      </c>
      <c r="B6" s="6">
        <f>5/33*100</f>
        <v>15.151515151515152</v>
      </c>
      <c r="C6" s="6">
        <v>5</v>
      </c>
      <c r="D6">
        <v>9</v>
      </c>
      <c r="E6" s="31">
        <f>9/44*100</f>
        <v>20.454545454545457</v>
      </c>
      <c r="G6" s="6" t="s">
        <v>487</v>
      </c>
      <c r="H6">
        <f>2/44*100</f>
        <v>4.5454545454545459</v>
      </c>
    </row>
    <row r="7" spans="1:8">
      <c r="A7" s="6" t="s">
        <v>462</v>
      </c>
      <c r="B7" s="6">
        <f>3/33*100</f>
        <v>9.0909090909090917</v>
      </c>
      <c r="C7" s="6">
        <v>3</v>
      </c>
      <c r="D7">
        <v>3</v>
      </c>
      <c r="E7" s="31">
        <f>3/44*100</f>
        <v>6.8181818181818175</v>
      </c>
      <c r="G7" s="6" t="s">
        <v>456</v>
      </c>
      <c r="H7">
        <f>2/44*100</f>
        <v>4.5454545454545459</v>
      </c>
    </row>
    <row r="8" spans="1:8">
      <c r="A8" s="6" t="s">
        <v>487</v>
      </c>
      <c r="B8" s="6">
        <v>6.06</v>
      </c>
      <c r="C8" s="6">
        <v>2</v>
      </c>
      <c r="D8">
        <v>2</v>
      </c>
      <c r="E8" s="31">
        <f>2/44*100</f>
        <v>4.5454545454545459</v>
      </c>
      <c r="G8" s="6" t="s">
        <v>478</v>
      </c>
      <c r="H8">
        <f>2/44*100</f>
        <v>4.5454545454545459</v>
      </c>
    </row>
    <row r="9" spans="1:8">
      <c r="A9" s="6" t="s">
        <v>456</v>
      </c>
      <c r="B9" s="6">
        <v>6.06</v>
      </c>
      <c r="C9" s="6">
        <v>2</v>
      </c>
      <c r="D9">
        <v>2</v>
      </c>
      <c r="E9" s="31">
        <f>2/44*100</f>
        <v>4.5454545454545459</v>
      </c>
      <c r="G9" s="6" t="s">
        <v>489</v>
      </c>
      <c r="H9">
        <f>SUM(E2:E3,E10,E12:E13)</f>
        <v>11.363636363636365</v>
      </c>
    </row>
    <row r="10" spans="1:8">
      <c r="A10" s="6" t="s">
        <v>477</v>
      </c>
      <c r="B10" s="6">
        <f>100-SUM(B2:B9)</f>
        <v>9.0927272727272594</v>
      </c>
      <c r="C10" s="6">
        <v>1</v>
      </c>
      <c r="D10">
        <v>1</v>
      </c>
      <c r="E10">
        <f>1/44*100</f>
        <v>2.2727272727272729</v>
      </c>
    </row>
    <row r="11" spans="1:8">
      <c r="A11" s="6" t="s">
        <v>478</v>
      </c>
      <c r="B11" s="6">
        <v>100</v>
      </c>
      <c r="C11" s="6">
        <v>1</v>
      </c>
      <c r="D11">
        <v>2</v>
      </c>
      <c r="E11" s="31">
        <f>2/44*100</f>
        <v>4.5454545454545459</v>
      </c>
    </row>
    <row r="12" spans="1:8">
      <c r="A12" s="6" t="s">
        <v>572</v>
      </c>
      <c r="B12" s="6"/>
      <c r="C12" s="6">
        <v>1</v>
      </c>
      <c r="D12">
        <v>1</v>
      </c>
      <c r="E12">
        <f>1/44*100</f>
        <v>2.2727272727272729</v>
      </c>
    </row>
    <row r="13" spans="1:8">
      <c r="A13" s="7" t="s">
        <v>454</v>
      </c>
      <c r="C13" s="6">
        <v>1</v>
      </c>
      <c r="D13">
        <v>1</v>
      </c>
      <c r="E13">
        <f>1/44*100</f>
        <v>2.2727272727272729</v>
      </c>
    </row>
    <row r="14" spans="1:8">
      <c r="A14" s="6" t="s">
        <v>573</v>
      </c>
      <c r="C14" s="6">
        <v>23</v>
      </c>
      <c r="D14">
        <v>24</v>
      </c>
    </row>
    <row r="15" spans="1:8">
      <c r="B15" s="7" t="s">
        <v>466</v>
      </c>
      <c r="C15" s="7">
        <f>SUM(C2:C14)</f>
        <v>56</v>
      </c>
      <c r="D15">
        <f>SUM(D2:D14)</f>
        <v>68</v>
      </c>
    </row>
    <row r="16" spans="1:8">
      <c r="A16" s="6" t="s">
        <v>574</v>
      </c>
      <c r="B16" t="s">
        <v>575</v>
      </c>
      <c r="C16">
        <f>C15-C14</f>
        <v>33</v>
      </c>
      <c r="D16">
        <f>D15-D14</f>
        <v>44</v>
      </c>
    </row>
    <row r="17" spans="2:12">
      <c r="D17">
        <f>44/68*100</f>
        <v>64.705882352941174</v>
      </c>
      <c r="F17" t="s">
        <v>463</v>
      </c>
      <c r="H17" t="s">
        <v>494</v>
      </c>
      <c r="K17">
        <v>1092</v>
      </c>
    </row>
    <row r="18" spans="2:12">
      <c r="B18" t="s">
        <v>494</v>
      </c>
      <c r="E18">
        <v>1092</v>
      </c>
      <c r="H18" t="s">
        <v>495</v>
      </c>
      <c r="K18">
        <v>929</v>
      </c>
      <c r="L18">
        <f>K18/K17</f>
        <v>0.85073260073260071</v>
      </c>
    </row>
    <row r="19" spans="2:12">
      <c r="B19" t="s">
        <v>495</v>
      </c>
      <c r="E19">
        <v>929</v>
      </c>
      <c r="F19">
        <f>E19/E18</f>
        <v>0.85073260073260071</v>
      </c>
      <c r="H19" t="s">
        <v>496</v>
      </c>
      <c r="K19">
        <v>879</v>
      </c>
      <c r="L19">
        <f>K19/K18</f>
        <v>0.94617868675995698</v>
      </c>
    </row>
    <row r="20" spans="2:12">
      <c r="B20" t="s">
        <v>496</v>
      </c>
      <c r="E20">
        <v>882</v>
      </c>
      <c r="F20">
        <f>E20/E19</f>
        <v>0.94940796555435958</v>
      </c>
      <c r="H20" t="s">
        <v>561</v>
      </c>
    </row>
    <row r="21" spans="2:12">
      <c r="B21" t="s">
        <v>497</v>
      </c>
      <c r="E21">
        <v>638</v>
      </c>
      <c r="I21" t="s">
        <v>498</v>
      </c>
      <c r="J21">
        <v>68</v>
      </c>
      <c r="K21">
        <f>J21/J25*100</f>
        <v>7.7360637087599553</v>
      </c>
      <c r="L21" t="s">
        <v>576</v>
      </c>
    </row>
    <row r="22" spans="2:12">
      <c r="C22" t="s">
        <v>498</v>
      </c>
      <c r="D22">
        <v>54</v>
      </c>
      <c r="E22">
        <f>54/638*100</f>
        <v>8.4639498432601883</v>
      </c>
      <c r="F22" t="s">
        <v>502</v>
      </c>
      <c r="I22" t="s">
        <v>499</v>
      </c>
      <c r="J22">
        <v>592</v>
      </c>
      <c r="K22">
        <f>J22/879*100</f>
        <v>67.349260523321959</v>
      </c>
      <c r="L22" t="s">
        <v>577</v>
      </c>
    </row>
    <row r="23" spans="2:12">
      <c r="C23" t="s">
        <v>499</v>
      </c>
      <c r="D23">
        <v>402</v>
      </c>
      <c r="E23">
        <f>402/638*100</f>
        <v>63.009404388714728</v>
      </c>
      <c r="F23" t="s">
        <v>503</v>
      </c>
      <c r="I23" t="s">
        <v>500</v>
      </c>
      <c r="J23">
        <v>75</v>
      </c>
      <c r="K23">
        <f>J23/879*100</f>
        <v>8.5324232081911262</v>
      </c>
      <c r="L23" t="s">
        <v>578</v>
      </c>
    </row>
    <row r="24" spans="2:12">
      <c r="C24" t="s">
        <v>500</v>
      </c>
      <c r="D24">
        <v>68</v>
      </c>
      <c r="E24">
        <f>68/638*100</f>
        <v>10.658307210031348</v>
      </c>
      <c r="F24" t="s">
        <v>504</v>
      </c>
      <c r="I24" t="s">
        <v>501</v>
      </c>
      <c r="J24">
        <v>144</v>
      </c>
      <c r="K24">
        <f>144/879*100</f>
        <v>16.382252559726961</v>
      </c>
      <c r="L24" t="s">
        <v>579</v>
      </c>
    </row>
    <row r="25" spans="2:12">
      <c r="C25" t="s">
        <v>501</v>
      </c>
      <c r="D25">
        <v>114</v>
      </c>
      <c r="E25">
        <f>114/638*100</f>
        <v>17.868338557993731</v>
      </c>
      <c r="F25" t="s">
        <v>505</v>
      </c>
      <c r="I25" t="s">
        <v>465</v>
      </c>
      <c r="J25">
        <f>SUM(J21:J24)</f>
        <v>879</v>
      </c>
    </row>
    <row r="26" spans="2:12">
      <c r="E26">
        <f>SUM(E22:E25)</f>
        <v>100</v>
      </c>
    </row>
    <row r="27" spans="2:12">
      <c r="C27" t="s">
        <v>465</v>
      </c>
      <c r="D27">
        <f>SUM(D22:D26)</f>
        <v>638</v>
      </c>
      <c r="H27" t="s">
        <v>580</v>
      </c>
    </row>
    <row r="28" spans="2:12">
      <c r="I28" t="s">
        <v>498</v>
      </c>
      <c r="J28">
        <v>68</v>
      </c>
      <c r="K28">
        <f>68/804*100</f>
        <v>8.4577114427860707</v>
      </c>
    </row>
    <row r="29" spans="2:12">
      <c r="I29" t="s">
        <v>499</v>
      </c>
      <c r="J29">
        <v>592</v>
      </c>
      <c r="K29">
        <f>592/804*100</f>
        <v>73.631840796019901</v>
      </c>
    </row>
    <row r="30" spans="2:12">
      <c r="C30" t="s">
        <v>506</v>
      </c>
    </row>
    <row r="31" spans="2:12">
      <c r="C31" t="s">
        <v>507</v>
      </c>
      <c r="E31">
        <f>296/402*100</f>
        <v>73.631840796019901</v>
      </c>
      <c r="I31" t="s">
        <v>501</v>
      </c>
      <c r="J31">
        <v>144</v>
      </c>
      <c r="K31">
        <f>144/804*100</f>
        <v>17.910447761194028</v>
      </c>
    </row>
    <row r="32" spans="2:12">
      <c r="C32" t="s">
        <v>508</v>
      </c>
      <c r="E32" s="5">
        <v>0.26</v>
      </c>
      <c r="I32" t="s">
        <v>465</v>
      </c>
      <c r="J32">
        <f>SUM(J28:J31)</f>
        <v>804</v>
      </c>
    </row>
    <row r="34" spans="3:13">
      <c r="C34" t="s">
        <v>509</v>
      </c>
      <c r="H34" t="s">
        <v>581</v>
      </c>
      <c r="I34" t="s">
        <v>582</v>
      </c>
      <c r="M34" t="s">
        <v>463</v>
      </c>
    </row>
    <row r="35" spans="3:13">
      <c r="C35">
        <f>0.875*114</f>
        <v>99.75</v>
      </c>
      <c r="E35" t="s">
        <v>463</v>
      </c>
      <c r="I35" t="s">
        <v>498</v>
      </c>
      <c r="J35">
        <v>15</v>
      </c>
      <c r="K35">
        <v>68</v>
      </c>
      <c r="L35">
        <f>SUM(J35:K35)</f>
        <v>83</v>
      </c>
      <c r="M35">
        <f>83/804*100</f>
        <v>10.323383084577115</v>
      </c>
    </row>
    <row r="36" spans="3:13">
      <c r="C36">
        <f>100+402</f>
        <v>502</v>
      </c>
      <c r="D36" t="s">
        <v>491</v>
      </c>
      <c r="E36">
        <f>C36/C39*100</f>
        <v>78.683385579937308</v>
      </c>
      <c r="I36" t="s">
        <v>583</v>
      </c>
      <c r="J36">
        <v>129</v>
      </c>
      <c r="K36">
        <v>592</v>
      </c>
      <c r="L36">
        <f>SUM(J36:K36)</f>
        <v>721</v>
      </c>
      <c r="M36">
        <f>721/804*100</f>
        <v>89.676616915422898</v>
      </c>
    </row>
    <row r="37" spans="3:13">
      <c r="C37">
        <f>14+54</f>
        <v>68</v>
      </c>
      <c r="D37" t="s">
        <v>510</v>
      </c>
      <c r="E37">
        <f>C37/C39*100</f>
        <v>10.658307210031348</v>
      </c>
      <c r="L37">
        <f>SUM(L35:L36)</f>
        <v>804</v>
      </c>
    </row>
    <row r="38" spans="3:13">
      <c r="C38">
        <v>68</v>
      </c>
      <c r="D38" t="s">
        <v>500</v>
      </c>
      <c r="E38">
        <f>C38/C39*100</f>
        <v>10.658307210031348</v>
      </c>
    </row>
    <row r="39" spans="3:13">
      <c r="C39">
        <f>SUM(C36:C38)</f>
        <v>638</v>
      </c>
      <c r="D39" t="s">
        <v>465</v>
      </c>
      <c r="E39">
        <f>SUM(E36:E38)</f>
        <v>100.00000000000001</v>
      </c>
      <c r="I39" t="s">
        <v>584</v>
      </c>
    </row>
    <row r="40" spans="3:13">
      <c r="H40" t="s">
        <v>585</v>
      </c>
      <c r="K40" t="s">
        <v>463</v>
      </c>
    </row>
    <row r="41" spans="3:13">
      <c r="I41" t="s">
        <v>498</v>
      </c>
      <c r="J41">
        <v>83</v>
      </c>
      <c r="K41">
        <f>J41/J44*100</f>
        <v>9.4425483503981784</v>
      </c>
      <c r="L41" t="s">
        <v>588</v>
      </c>
    </row>
    <row r="42" spans="3:13">
      <c r="I42" t="s">
        <v>586</v>
      </c>
      <c r="J42">
        <v>721</v>
      </c>
      <c r="K42">
        <f>J42/J44*100</f>
        <v>82.025028441410697</v>
      </c>
      <c r="L42" t="s">
        <v>589</v>
      </c>
    </row>
    <row r="43" spans="3:13">
      <c r="I43" t="s">
        <v>587</v>
      </c>
      <c r="J43">
        <v>75</v>
      </c>
      <c r="K43">
        <f>J43/J44*100</f>
        <v>8.5324232081911262</v>
      </c>
      <c r="L43" t="s">
        <v>578</v>
      </c>
    </row>
    <row r="44" spans="3:13">
      <c r="I44" t="s">
        <v>465</v>
      </c>
      <c r="J44">
        <f>SUM(J41:J43)</f>
        <v>879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84"/>
  <sheetViews>
    <sheetView workbookViewId="0">
      <pane xSplit="1" topLeftCell="EB1" activePane="topRight" state="frozen"/>
      <selection pane="topRight" activeCell="EE10" sqref="EE10"/>
    </sheetView>
  </sheetViews>
  <sheetFormatPr baseColWidth="10" defaultRowHeight="13" x14ac:dyDescent="0"/>
  <cols>
    <col min="2" max="2" width="9.42578125" customWidth="1"/>
    <col min="3" max="3" width="10.28515625" customWidth="1"/>
    <col min="4" max="4" width="11.5703125" bestFit="1" customWidth="1"/>
    <col min="5" max="5" width="9" customWidth="1"/>
    <col min="6" max="6" width="8.28515625" customWidth="1"/>
    <col min="7" max="7" width="9" bestFit="1" customWidth="1"/>
    <col min="8" max="9" width="6.5703125" customWidth="1"/>
    <col min="10" max="10" width="6.42578125" customWidth="1"/>
    <col min="11" max="11" width="14.5703125" bestFit="1" customWidth="1"/>
    <col min="19" max="19" width="13.85546875" bestFit="1" customWidth="1"/>
    <col min="21" max="21" width="9" customWidth="1"/>
    <col min="22" max="22" width="7.28515625" bestFit="1" customWidth="1"/>
    <col min="23" max="23" width="6.7109375" bestFit="1" customWidth="1"/>
    <col min="24" max="24" width="8.140625" customWidth="1"/>
    <col min="25" max="25" width="7.140625" bestFit="1" customWidth="1"/>
    <col min="26" max="26" width="4.28515625" bestFit="1" customWidth="1"/>
    <col min="27" max="27" width="13.85546875" bestFit="1" customWidth="1"/>
    <col min="28" max="28" width="10.140625" customWidth="1"/>
    <col min="29" max="29" width="8" bestFit="1" customWidth="1"/>
    <col min="30" max="30" width="7.140625" bestFit="1" customWidth="1"/>
    <col min="31" max="31" width="6.7109375" bestFit="1" customWidth="1"/>
    <col min="32" max="32" width="7.140625" bestFit="1" customWidth="1"/>
    <col min="33" max="33" width="10.140625" customWidth="1"/>
    <col min="34" max="34" width="7.140625" bestFit="1" customWidth="1"/>
    <col min="35" max="35" width="15.7109375" bestFit="1" customWidth="1"/>
    <col min="36" max="36" width="7.140625" bestFit="1" customWidth="1"/>
    <col min="37" max="38" width="7.7109375" bestFit="1" customWidth="1"/>
    <col min="40" max="40" width="9" customWidth="1"/>
    <col min="41" max="41" width="9.5703125" customWidth="1"/>
    <col min="42" max="42" width="8.140625" customWidth="1"/>
    <col min="44" max="44" width="8.5703125" customWidth="1"/>
    <col min="45" max="45" width="17.7109375" bestFit="1" customWidth="1"/>
    <col min="48" max="48" width="16" bestFit="1" customWidth="1"/>
    <col min="55" max="55" width="13.85546875" bestFit="1" customWidth="1"/>
    <col min="58" max="58" width="17" bestFit="1" customWidth="1"/>
    <col min="59" max="59" width="7.85546875" bestFit="1" customWidth="1"/>
    <col min="60" max="60" width="8.140625" customWidth="1"/>
    <col min="61" max="61" width="8.28515625" customWidth="1"/>
    <col min="62" max="63" width="7.140625" bestFit="1" customWidth="1"/>
    <col min="65" max="65" width="12.5703125" bestFit="1" customWidth="1"/>
    <col min="67" max="67" width="9.5703125" bestFit="1" customWidth="1"/>
    <col min="68" max="68" width="17" bestFit="1" customWidth="1"/>
    <col min="69" max="69" width="9.28515625" bestFit="1" customWidth="1"/>
    <col min="70" max="70" width="9" customWidth="1"/>
    <col min="71" max="71" width="10.7109375" customWidth="1"/>
    <col min="72" max="72" width="11.28515625" customWidth="1"/>
    <col min="73" max="73" width="7.140625" bestFit="1" customWidth="1"/>
    <col min="74" max="74" width="6.85546875" customWidth="1"/>
    <col min="75" max="75" width="13.85546875" bestFit="1" customWidth="1"/>
    <col min="77" max="77" width="11.7109375" bestFit="1" customWidth="1"/>
    <col min="78" max="78" width="19.140625" bestFit="1" customWidth="1"/>
    <col min="79" max="79" width="8.28515625" bestFit="1" customWidth="1"/>
    <col min="80" max="80" width="9.140625" bestFit="1" customWidth="1"/>
    <col min="81" max="81" width="9.7109375" customWidth="1"/>
    <col min="84" max="84" width="8.5703125" bestFit="1" customWidth="1"/>
    <col min="85" max="85" width="13.85546875" bestFit="1" customWidth="1"/>
    <col min="86" max="86" width="11.140625" bestFit="1" customWidth="1"/>
    <col min="87" max="87" width="11.7109375" bestFit="1" customWidth="1"/>
    <col min="88" max="88" width="19.140625" bestFit="1" customWidth="1"/>
    <col min="89" max="89" width="7.7109375" bestFit="1" customWidth="1"/>
    <col min="90" max="90" width="9.140625" bestFit="1" customWidth="1"/>
    <col min="91" max="91" width="11.5703125" customWidth="1"/>
    <col min="92" max="92" width="10.85546875" bestFit="1" customWidth="1"/>
    <col min="93" max="93" width="8.42578125" customWidth="1"/>
    <col min="94" max="94" width="8.5703125" bestFit="1" customWidth="1"/>
    <col min="95" max="95" width="13.85546875" bestFit="1" customWidth="1"/>
    <col min="96" max="96" width="11.140625" bestFit="1" customWidth="1"/>
    <col min="98" max="98" width="16.85546875" bestFit="1" customWidth="1"/>
    <col min="99" max="99" width="7.85546875" bestFit="1" customWidth="1"/>
    <col min="105" max="105" width="13.85546875" bestFit="1" customWidth="1"/>
    <col min="108" max="108" width="17.140625" bestFit="1" customWidth="1"/>
    <col min="109" max="109" width="9.85546875" bestFit="1" customWidth="1"/>
    <col min="110" max="110" width="12" bestFit="1" customWidth="1"/>
    <col min="111" max="111" width="11.140625" customWidth="1"/>
    <col min="112" max="112" width="12" bestFit="1" customWidth="1"/>
    <col min="113" max="113" width="12.28515625" customWidth="1"/>
    <col min="114" max="114" width="8.5703125" bestFit="1" customWidth="1"/>
    <col min="115" max="115" width="13.85546875" bestFit="1" customWidth="1"/>
    <col min="116" max="116" width="11.140625" bestFit="1" customWidth="1"/>
    <col min="117" max="117" width="11" bestFit="1" customWidth="1"/>
    <col min="118" max="118" width="16.85546875" bestFit="1" customWidth="1"/>
    <col min="119" max="119" width="8.28515625" bestFit="1" customWidth="1"/>
    <col min="120" max="120" width="9.140625" bestFit="1" customWidth="1"/>
    <col min="122" max="122" width="10.85546875" customWidth="1"/>
    <col min="123" max="123" width="9.28515625" customWidth="1"/>
    <col min="124" max="124" width="4.5703125" customWidth="1"/>
    <col min="125" max="125" width="13.85546875" bestFit="1" customWidth="1"/>
    <col min="128" max="128" width="17.42578125" bestFit="1" customWidth="1"/>
    <col min="129" max="129" width="9.42578125" bestFit="1" customWidth="1"/>
    <col min="130" max="130" width="9.140625" bestFit="1" customWidth="1"/>
    <col min="131" max="131" width="11.140625" customWidth="1"/>
    <col min="134" max="134" width="8.5703125" bestFit="1" customWidth="1"/>
    <col min="135" max="135" width="13.85546875" bestFit="1" customWidth="1"/>
    <col min="137" max="137" width="11.28515625" bestFit="1" customWidth="1"/>
    <col min="138" max="138" width="18.5703125" bestFit="1" customWidth="1"/>
    <col min="145" max="145" width="11.42578125" bestFit="1" customWidth="1"/>
    <col min="146" max="146" width="11.140625" bestFit="1" customWidth="1"/>
    <col min="148" max="148" width="18.5703125" bestFit="1" customWidth="1"/>
    <col min="149" max="152" width="10.85546875" bestFit="1" customWidth="1"/>
    <col min="153" max="153" width="12.28515625" bestFit="1" customWidth="1"/>
    <col min="154" max="154" width="10.85546875" bestFit="1" customWidth="1"/>
    <col min="155" max="155" width="13.85546875" bestFit="1" customWidth="1"/>
    <col min="156" max="156" width="11.28515625" bestFit="1" customWidth="1"/>
    <col min="158" max="158" width="17" bestFit="1" customWidth="1"/>
    <col min="164" max="164" width="5" bestFit="1" customWidth="1"/>
    <col min="165" max="165" width="17.140625" bestFit="1" customWidth="1"/>
    <col min="168" max="168" width="4.28515625" bestFit="1" customWidth="1"/>
    <col min="169" max="169" width="9.140625" bestFit="1" customWidth="1"/>
    <col min="170" max="170" width="11.85546875" bestFit="1" customWidth="1"/>
    <col min="172" max="172" width="7.28515625" bestFit="1" customWidth="1"/>
    <col min="173" max="173" width="11.42578125" bestFit="1" customWidth="1"/>
    <col min="174" max="174" width="11.140625" bestFit="1" customWidth="1"/>
    <col min="175" max="175" width="7.85546875" bestFit="1" customWidth="1"/>
    <col min="176" max="176" width="14.28515625" bestFit="1" customWidth="1"/>
  </cols>
  <sheetData>
    <row r="1" spans="1:176">
      <c r="E1" t="s">
        <v>727</v>
      </c>
      <c r="K1" t="s">
        <v>727</v>
      </c>
      <c r="L1" t="s">
        <v>727</v>
      </c>
      <c r="M1" t="s">
        <v>859</v>
      </c>
      <c r="T1" t="s">
        <v>860</v>
      </c>
      <c r="U1" s="41" t="s">
        <v>694</v>
      </c>
      <c r="V1" s="41" t="s">
        <v>694</v>
      </c>
      <c r="W1" s="41" t="s">
        <v>694</v>
      </c>
      <c r="X1" s="41" t="s">
        <v>694</v>
      </c>
      <c r="Y1" s="41" t="s">
        <v>694</v>
      </c>
      <c r="Z1" s="41"/>
      <c r="AA1" s="41" t="s">
        <v>694</v>
      </c>
      <c r="AB1" s="41" t="s">
        <v>694</v>
      </c>
      <c r="AC1" s="45" t="s">
        <v>695</v>
      </c>
      <c r="AD1" s="45" t="s">
        <v>695</v>
      </c>
      <c r="AE1" s="45" t="s">
        <v>695</v>
      </c>
      <c r="AF1" s="45" t="s">
        <v>695</v>
      </c>
      <c r="AG1" s="45" t="s">
        <v>695</v>
      </c>
      <c r="AH1" s="45" t="s">
        <v>695</v>
      </c>
      <c r="AI1" s="45" t="s">
        <v>695</v>
      </c>
      <c r="AJ1" s="45" t="s">
        <v>695</v>
      </c>
      <c r="AK1" s="41" t="s">
        <v>694</v>
      </c>
      <c r="AL1" s="41" t="s">
        <v>695</v>
      </c>
      <c r="AM1" s="45" t="s">
        <v>728</v>
      </c>
      <c r="AN1" s="45" t="s">
        <v>728</v>
      </c>
      <c r="AO1" s="45" t="s">
        <v>728</v>
      </c>
      <c r="AP1" s="45" t="s">
        <v>728</v>
      </c>
      <c r="AQ1" s="45" t="s">
        <v>728</v>
      </c>
      <c r="AR1" s="45" t="s">
        <v>728</v>
      </c>
      <c r="AS1" s="45" t="s">
        <v>728</v>
      </c>
      <c r="AT1" s="45" t="s">
        <v>728</v>
      </c>
      <c r="AU1" s="45" t="s">
        <v>728</v>
      </c>
      <c r="AV1" s="45" t="s">
        <v>728</v>
      </c>
      <c r="AW1" s="45" t="s">
        <v>729</v>
      </c>
      <c r="AX1" s="45" t="s">
        <v>729</v>
      </c>
      <c r="AY1" s="45" t="s">
        <v>729</v>
      </c>
      <c r="AZ1" s="45" t="s">
        <v>729</v>
      </c>
      <c r="BA1" s="45" t="s">
        <v>729</v>
      </c>
      <c r="BB1" s="45" t="s">
        <v>729</v>
      </c>
      <c r="BC1" s="45" t="s">
        <v>729</v>
      </c>
      <c r="BD1" s="45" t="s">
        <v>729</v>
      </c>
      <c r="BE1" s="45" t="s">
        <v>729</v>
      </c>
      <c r="BF1" s="45" t="s">
        <v>729</v>
      </c>
      <c r="BG1" s="41" t="s">
        <v>730</v>
      </c>
      <c r="BH1" s="41" t="s">
        <v>730</v>
      </c>
      <c r="BI1" s="41" t="s">
        <v>730</v>
      </c>
      <c r="BJ1" s="41" t="s">
        <v>730</v>
      </c>
      <c r="BK1" s="41" t="s">
        <v>730</v>
      </c>
      <c r="BL1" s="41" t="s">
        <v>730</v>
      </c>
      <c r="BM1" s="41" t="s">
        <v>730</v>
      </c>
      <c r="BN1" s="41" t="s">
        <v>730</v>
      </c>
      <c r="BO1" s="41" t="s">
        <v>730</v>
      </c>
      <c r="BP1" s="41" t="s">
        <v>730</v>
      </c>
      <c r="BQ1" s="45" t="s">
        <v>731</v>
      </c>
      <c r="BS1" s="45" t="s">
        <v>731</v>
      </c>
      <c r="BU1" s="45" t="s">
        <v>731</v>
      </c>
      <c r="BW1" s="45" t="s">
        <v>731</v>
      </c>
      <c r="BY1" s="45" t="s">
        <v>731</v>
      </c>
      <c r="BZ1" s="45" t="s">
        <v>731</v>
      </c>
      <c r="CA1" s="41" t="s">
        <v>747</v>
      </c>
      <c r="CB1" s="41"/>
      <c r="CC1" s="41" t="s">
        <v>747</v>
      </c>
      <c r="CD1" s="41"/>
      <c r="CE1" s="41" t="s">
        <v>747</v>
      </c>
      <c r="CF1" s="41"/>
      <c r="CG1" s="41" t="s">
        <v>747</v>
      </c>
      <c r="CH1" s="41"/>
      <c r="CI1" s="41" t="s">
        <v>747</v>
      </c>
      <c r="CJ1" s="41" t="s">
        <v>747</v>
      </c>
      <c r="CK1" s="45" t="s">
        <v>759</v>
      </c>
      <c r="CL1" s="45"/>
      <c r="CM1" s="45" t="s">
        <v>759</v>
      </c>
      <c r="CN1" s="45"/>
      <c r="CO1" s="45" t="s">
        <v>759</v>
      </c>
      <c r="CP1" s="45"/>
      <c r="CQ1" s="45" t="s">
        <v>759</v>
      </c>
      <c r="CR1" s="45"/>
      <c r="CS1" s="45" t="s">
        <v>759</v>
      </c>
      <c r="CT1" s="45" t="s">
        <v>759</v>
      </c>
      <c r="CU1" s="41" t="s">
        <v>763</v>
      </c>
      <c r="CV1" s="41"/>
      <c r="CW1" s="41" t="s">
        <v>763</v>
      </c>
      <c r="CX1" s="41"/>
      <c r="CY1" s="41" t="s">
        <v>763</v>
      </c>
      <c r="CZ1" s="41"/>
      <c r="DA1" s="41" t="s">
        <v>763</v>
      </c>
      <c r="DB1" s="41"/>
      <c r="DC1" s="41" t="s">
        <v>763</v>
      </c>
      <c r="DD1" s="41" t="s">
        <v>763</v>
      </c>
      <c r="DE1" s="45" t="s">
        <v>770</v>
      </c>
      <c r="DF1" s="45"/>
      <c r="DG1" s="45" t="s">
        <v>770</v>
      </c>
      <c r="DH1" s="45"/>
      <c r="DI1" s="45" t="s">
        <v>770</v>
      </c>
      <c r="DJ1" s="45"/>
      <c r="DK1" s="45" t="s">
        <v>770</v>
      </c>
      <c r="DL1" s="45"/>
      <c r="DM1" s="45" t="s">
        <v>770</v>
      </c>
      <c r="DN1" s="45" t="s">
        <v>770</v>
      </c>
      <c r="DO1" s="52" t="s">
        <v>779</v>
      </c>
      <c r="DP1" s="52"/>
      <c r="DQ1" s="52" t="s">
        <v>779</v>
      </c>
      <c r="DR1" s="52"/>
      <c r="DS1" s="52" t="s">
        <v>779</v>
      </c>
      <c r="DT1" s="52"/>
      <c r="DU1" s="52" t="s">
        <v>779</v>
      </c>
      <c r="DV1" s="52"/>
      <c r="DW1" s="52" t="s">
        <v>779</v>
      </c>
      <c r="DX1" s="52" t="s">
        <v>779</v>
      </c>
      <c r="DY1" s="51" t="s">
        <v>786</v>
      </c>
      <c r="DZ1" s="51"/>
      <c r="EA1" s="51" t="s">
        <v>786</v>
      </c>
      <c r="EB1" s="51"/>
      <c r="EC1" s="51" t="s">
        <v>786</v>
      </c>
      <c r="ED1" s="51"/>
      <c r="EE1" s="51" t="s">
        <v>786</v>
      </c>
      <c r="EF1" s="51"/>
      <c r="EG1" s="51" t="s">
        <v>786</v>
      </c>
      <c r="EH1" s="51" t="s">
        <v>786</v>
      </c>
      <c r="EI1" s="52" t="s">
        <v>791</v>
      </c>
      <c r="EJ1" s="52"/>
      <c r="EK1" s="52" t="s">
        <v>791</v>
      </c>
      <c r="EL1" s="52"/>
      <c r="EM1" s="52" t="s">
        <v>791</v>
      </c>
      <c r="EN1" s="52"/>
      <c r="EO1" s="52" t="s">
        <v>791</v>
      </c>
      <c r="EP1" s="52"/>
      <c r="EQ1" s="52" t="s">
        <v>791</v>
      </c>
      <c r="ER1" s="52" t="s">
        <v>791</v>
      </c>
      <c r="ES1" s="51" t="s">
        <v>797</v>
      </c>
      <c r="ET1" s="51"/>
      <c r="EU1" s="51" t="s">
        <v>797</v>
      </c>
      <c r="EV1" s="51"/>
      <c r="EW1" s="51" t="s">
        <v>797</v>
      </c>
      <c r="EX1" s="51"/>
      <c r="EY1" s="51" t="s">
        <v>797</v>
      </c>
      <c r="EZ1" s="51"/>
      <c r="FA1" s="51" t="s">
        <v>797</v>
      </c>
      <c r="FB1" s="51" t="s">
        <v>797</v>
      </c>
      <c r="FC1" s="52" t="s">
        <v>807</v>
      </c>
      <c r="FD1" s="41"/>
      <c r="FE1" s="41"/>
      <c r="FF1" s="41"/>
      <c r="FG1" s="41"/>
      <c r="FH1" s="41"/>
      <c r="FI1" s="41"/>
      <c r="FJ1" s="41"/>
      <c r="FK1" t="s">
        <v>811</v>
      </c>
    </row>
    <row r="2" spans="1:176">
      <c r="A2" s="7" t="s">
        <v>632</v>
      </c>
      <c r="B2" t="s">
        <v>633</v>
      </c>
      <c r="C2" t="s">
        <v>250</v>
      </c>
      <c r="D2" t="s">
        <v>19</v>
      </c>
      <c r="E2" s="45" t="s">
        <v>639</v>
      </c>
      <c r="F2" t="s">
        <v>100</v>
      </c>
      <c r="G2" t="s">
        <v>101</v>
      </c>
      <c r="H2" t="s">
        <v>640</v>
      </c>
      <c r="I2" t="s">
        <v>641</v>
      </c>
      <c r="J2" t="s">
        <v>642</v>
      </c>
      <c r="K2" t="s">
        <v>645</v>
      </c>
      <c r="L2" t="s">
        <v>647</v>
      </c>
      <c r="M2" t="s">
        <v>639</v>
      </c>
      <c r="N2" t="s">
        <v>100</v>
      </c>
      <c r="O2" t="s">
        <v>101</v>
      </c>
      <c r="P2" t="s">
        <v>640</v>
      </c>
      <c r="Q2" t="s">
        <v>641</v>
      </c>
      <c r="R2" t="s">
        <v>642</v>
      </c>
      <c r="S2" t="s">
        <v>645</v>
      </c>
      <c r="T2" t="s">
        <v>647</v>
      </c>
      <c r="U2" t="s">
        <v>690</v>
      </c>
      <c r="V2" t="s">
        <v>691</v>
      </c>
      <c r="W2" t="s">
        <v>692</v>
      </c>
      <c r="X2" t="s">
        <v>640</v>
      </c>
      <c r="Y2" t="s">
        <v>641</v>
      </c>
      <c r="Z2" t="s">
        <v>642</v>
      </c>
      <c r="AA2" t="s">
        <v>645</v>
      </c>
      <c r="AB2" t="s">
        <v>693</v>
      </c>
      <c r="AC2" t="s">
        <v>696</v>
      </c>
      <c r="AD2" t="s">
        <v>697</v>
      </c>
      <c r="AE2" t="s">
        <v>692</v>
      </c>
      <c r="AF2" t="s">
        <v>640</v>
      </c>
      <c r="AG2" t="s">
        <v>641</v>
      </c>
      <c r="AH2" t="s">
        <v>642</v>
      </c>
      <c r="AI2" t="s">
        <v>645</v>
      </c>
      <c r="AJ2" t="s">
        <v>693</v>
      </c>
      <c r="AK2" s="41" t="s">
        <v>694</v>
      </c>
      <c r="AL2" s="41" t="s">
        <v>695</v>
      </c>
      <c r="AM2" t="s">
        <v>653</v>
      </c>
      <c r="AN2" t="s">
        <v>100</v>
      </c>
      <c r="AO2" t="s">
        <v>101</v>
      </c>
      <c r="AP2" t="s">
        <v>640</v>
      </c>
      <c r="AQ2" t="s">
        <v>641</v>
      </c>
      <c r="AR2" t="s">
        <v>642</v>
      </c>
      <c r="AS2" t="s">
        <v>645</v>
      </c>
      <c r="AT2" t="s">
        <v>647</v>
      </c>
      <c r="AU2" t="s">
        <v>665</v>
      </c>
      <c r="AV2" t="s">
        <v>666</v>
      </c>
      <c r="AW2" t="s">
        <v>678</v>
      </c>
      <c r="AX2" t="s">
        <v>100</v>
      </c>
      <c r="AY2" t="s">
        <v>101</v>
      </c>
      <c r="AZ2" t="s">
        <v>640</v>
      </c>
      <c r="BA2" t="s">
        <v>641</v>
      </c>
      <c r="BB2" t="s">
        <v>642</v>
      </c>
      <c r="BC2" t="s">
        <v>645</v>
      </c>
      <c r="BD2" t="s">
        <v>647</v>
      </c>
      <c r="BE2" t="s">
        <v>679</v>
      </c>
      <c r="BF2" t="s">
        <v>680</v>
      </c>
      <c r="BG2" t="s">
        <v>720</v>
      </c>
      <c r="BH2" t="s">
        <v>100</v>
      </c>
      <c r="BI2" t="s">
        <v>101</v>
      </c>
      <c r="BJ2" t="s">
        <v>640</v>
      </c>
      <c r="BK2" t="s">
        <v>135</v>
      </c>
      <c r="BL2" t="s">
        <v>642</v>
      </c>
      <c r="BM2" t="s">
        <v>645</v>
      </c>
      <c r="BN2" t="s">
        <v>647</v>
      </c>
      <c r="BO2" t="s">
        <v>721</v>
      </c>
      <c r="BP2" t="s">
        <v>722</v>
      </c>
      <c r="BQ2" t="s">
        <v>723</v>
      </c>
      <c r="BR2" t="s">
        <v>100</v>
      </c>
      <c r="BS2" t="s">
        <v>101</v>
      </c>
      <c r="BT2" t="s">
        <v>640</v>
      </c>
      <c r="BU2" t="s">
        <v>135</v>
      </c>
      <c r="BV2" t="s">
        <v>642</v>
      </c>
      <c r="BW2" t="s">
        <v>645</v>
      </c>
      <c r="BX2" t="s">
        <v>647</v>
      </c>
      <c r="BY2" t="s">
        <v>724</v>
      </c>
      <c r="BZ2" t="s">
        <v>725</v>
      </c>
      <c r="CA2" t="s">
        <v>748</v>
      </c>
      <c r="CB2" t="s">
        <v>100</v>
      </c>
      <c r="CC2" t="s">
        <v>101</v>
      </c>
      <c r="CD2" t="s">
        <v>640</v>
      </c>
      <c r="CE2" t="s">
        <v>135</v>
      </c>
      <c r="CF2" t="s">
        <v>642</v>
      </c>
      <c r="CG2" t="s">
        <v>645</v>
      </c>
      <c r="CH2" t="s">
        <v>647</v>
      </c>
      <c r="CI2" t="s">
        <v>816</v>
      </c>
      <c r="CJ2" s="41" t="s">
        <v>817</v>
      </c>
      <c r="CK2" t="s">
        <v>760</v>
      </c>
      <c r="CL2" t="s">
        <v>100</v>
      </c>
      <c r="CM2" t="s">
        <v>101</v>
      </c>
      <c r="CN2" t="s">
        <v>640</v>
      </c>
      <c r="CO2" t="s">
        <v>135</v>
      </c>
      <c r="CP2" t="s">
        <v>642</v>
      </c>
      <c r="CQ2" t="s">
        <v>645</v>
      </c>
      <c r="CR2" t="s">
        <v>647</v>
      </c>
      <c r="CS2" t="s">
        <v>761</v>
      </c>
      <c r="CT2" t="s">
        <v>762</v>
      </c>
      <c r="CU2" t="s">
        <v>764</v>
      </c>
      <c r="CV2" t="s">
        <v>100</v>
      </c>
      <c r="CW2" t="s">
        <v>101</v>
      </c>
      <c r="CX2" t="s">
        <v>640</v>
      </c>
      <c r="CY2" t="s">
        <v>135</v>
      </c>
      <c r="CZ2" t="s">
        <v>642</v>
      </c>
      <c r="DA2" t="s">
        <v>645</v>
      </c>
      <c r="DB2" t="s">
        <v>647</v>
      </c>
      <c r="DC2" t="s">
        <v>765</v>
      </c>
      <c r="DD2" t="s">
        <v>766</v>
      </c>
      <c r="DE2" t="s">
        <v>773</v>
      </c>
      <c r="DF2" t="s">
        <v>100</v>
      </c>
      <c r="DG2" t="s">
        <v>101</v>
      </c>
      <c r="DH2" t="s">
        <v>640</v>
      </c>
      <c r="DI2" t="s">
        <v>135</v>
      </c>
      <c r="DJ2" t="s">
        <v>642</v>
      </c>
      <c r="DK2" t="s">
        <v>645</v>
      </c>
      <c r="DL2" t="s">
        <v>647</v>
      </c>
      <c r="DM2" t="s">
        <v>771</v>
      </c>
      <c r="DN2" t="s">
        <v>772</v>
      </c>
      <c r="DO2" t="s">
        <v>780</v>
      </c>
      <c r="DP2" t="s">
        <v>100</v>
      </c>
      <c r="DQ2" t="s">
        <v>101</v>
      </c>
      <c r="DR2" t="s">
        <v>640</v>
      </c>
      <c r="DS2" t="s">
        <v>135</v>
      </c>
      <c r="DT2" t="s">
        <v>642</v>
      </c>
      <c r="DU2" t="s">
        <v>645</v>
      </c>
      <c r="DV2" t="s">
        <v>647</v>
      </c>
      <c r="DW2" t="s">
        <v>781</v>
      </c>
      <c r="DX2" t="s">
        <v>782</v>
      </c>
      <c r="DY2" t="s">
        <v>787</v>
      </c>
      <c r="DZ2" t="s">
        <v>100</v>
      </c>
      <c r="EA2" t="s">
        <v>101</v>
      </c>
      <c r="EB2" t="s">
        <v>640</v>
      </c>
      <c r="EC2" t="s">
        <v>135</v>
      </c>
      <c r="ED2" t="s">
        <v>642</v>
      </c>
      <c r="EE2" t="s">
        <v>645</v>
      </c>
      <c r="EF2" t="s">
        <v>647</v>
      </c>
      <c r="EG2" t="s">
        <v>788</v>
      </c>
      <c r="EH2" t="s">
        <v>789</v>
      </c>
      <c r="EI2" t="s">
        <v>792</v>
      </c>
      <c r="EJ2" t="s">
        <v>100</v>
      </c>
      <c r="EK2" t="s">
        <v>101</v>
      </c>
      <c r="EL2" t="s">
        <v>640</v>
      </c>
      <c r="EM2" t="s">
        <v>135</v>
      </c>
      <c r="EN2" t="s">
        <v>642</v>
      </c>
      <c r="EO2" t="s">
        <v>645</v>
      </c>
      <c r="EP2" t="s">
        <v>647</v>
      </c>
      <c r="EQ2" t="s">
        <v>793</v>
      </c>
      <c r="ER2" t="s">
        <v>794</v>
      </c>
      <c r="ES2" t="s">
        <v>798</v>
      </c>
      <c r="ET2" t="s">
        <v>100</v>
      </c>
      <c r="EU2" t="s">
        <v>101</v>
      </c>
      <c r="EV2" t="s">
        <v>640</v>
      </c>
      <c r="EW2" t="s">
        <v>135</v>
      </c>
      <c r="EX2" t="s">
        <v>642</v>
      </c>
      <c r="EY2" t="s">
        <v>645</v>
      </c>
      <c r="EZ2" t="s">
        <v>647</v>
      </c>
      <c r="FA2" t="s">
        <v>801</v>
      </c>
      <c r="FB2" t="s">
        <v>800</v>
      </c>
      <c r="FC2" t="s">
        <v>808</v>
      </c>
      <c r="FD2" t="s">
        <v>100</v>
      </c>
      <c r="FE2" t="s">
        <v>101</v>
      </c>
      <c r="FF2" t="s">
        <v>640</v>
      </c>
      <c r="FG2" t="s">
        <v>135</v>
      </c>
      <c r="FH2" t="s">
        <v>642</v>
      </c>
      <c r="FI2" t="s">
        <v>645</v>
      </c>
      <c r="FJ2" t="s">
        <v>647</v>
      </c>
      <c r="FK2" t="s">
        <v>812</v>
      </c>
      <c r="FL2" t="s">
        <v>100</v>
      </c>
      <c r="FM2" t="s">
        <v>101</v>
      </c>
      <c r="FN2" t="s">
        <v>640</v>
      </c>
      <c r="FO2" t="s">
        <v>135</v>
      </c>
      <c r="FP2" t="s">
        <v>642</v>
      </c>
      <c r="FQ2" t="s">
        <v>645</v>
      </c>
      <c r="FR2" t="s">
        <v>647</v>
      </c>
      <c r="FS2" s="41" t="s">
        <v>813</v>
      </c>
      <c r="FT2" t="s">
        <v>818</v>
      </c>
    </row>
    <row r="3" spans="1:176" s="7" customFormat="1">
      <c r="A3" s="7" t="s">
        <v>549</v>
      </c>
      <c r="B3" s="7" t="s">
        <v>634</v>
      </c>
      <c r="C3" s="7">
        <v>6</v>
      </c>
      <c r="D3" s="7" t="s">
        <v>636</v>
      </c>
      <c r="E3" s="7">
        <v>28.7</v>
      </c>
      <c r="F3" s="7">
        <v>27.9</v>
      </c>
      <c r="G3" s="7">
        <v>27.3</v>
      </c>
      <c r="H3" s="7">
        <f>AVERAGE(E3:G3)</f>
        <v>27.966666666666665</v>
      </c>
      <c r="I3" s="7">
        <f>STDEV(E3:G3)</f>
        <v>0.70237691685684855</v>
      </c>
      <c r="J3" s="7">
        <v>81.599999999999994</v>
      </c>
      <c r="K3" s="7" t="s">
        <v>646</v>
      </c>
      <c r="L3" s="46">
        <f>1/(2^H3)*(10^9)</f>
        <v>3.8123648315548055</v>
      </c>
      <c r="M3" s="57">
        <v>33</v>
      </c>
      <c r="N3" s="32">
        <v>31.4</v>
      </c>
      <c r="O3" s="32">
        <v>32</v>
      </c>
      <c r="P3" s="32">
        <f>AVERAGE(N3:O3)</f>
        <v>31.7</v>
      </c>
      <c r="Q3" s="32">
        <f>STDEV(M3:O3)</f>
        <v>0.80829037686547667</v>
      </c>
      <c r="R3" s="32">
        <v>80.7</v>
      </c>
      <c r="S3" s="32" t="s">
        <v>671</v>
      </c>
      <c r="T3" s="46">
        <f>1/(2^P3)*(10^9)</f>
        <v>0.28664814618996254</v>
      </c>
      <c r="U3" s="7">
        <v>20.2</v>
      </c>
      <c r="V3" s="7">
        <v>19.899999999999999</v>
      </c>
      <c r="W3" s="7">
        <v>19.7</v>
      </c>
      <c r="X3" s="7">
        <f>AVERAGE(U3:W3)</f>
        <v>19.933333333333334</v>
      </c>
      <c r="Y3" s="7">
        <f>STDEV(U3:W3)</f>
        <v>0.25166114784235838</v>
      </c>
      <c r="Z3" s="7">
        <v>86.1</v>
      </c>
      <c r="AA3" s="7" t="s">
        <v>685</v>
      </c>
      <c r="AB3" s="7">
        <f>1/(2^X3)</f>
        <v>9.9877750665724379E-7</v>
      </c>
      <c r="AC3" s="7">
        <v>20.2</v>
      </c>
      <c r="AD3" s="7">
        <v>19.399999999999999</v>
      </c>
      <c r="AE3" s="7">
        <v>19.2</v>
      </c>
      <c r="AF3" s="7">
        <f>AVERAGE(AC3:AE3)</f>
        <v>19.599999999999998</v>
      </c>
      <c r="AG3" s="7">
        <f>STDEV(AC3:AE3)</f>
        <v>0.52915026221291828</v>
      </c>
      <c r="AH3" s="7">
        <v>83.4</v>
      </c>
      <c r="AI3" s="7" t="s">
        <v>685</v>
      </c>
      <c r="AJ3" s="7">
        <f>1/(2^AF3)</f>
        <v>1.2583808047989813E-6</v>
      </c>
      <c r="AK3" s="46">
        <f>AB3/(AB3+AJ3)</f>
        <v>0.44249333402444152</v>
      </c>
      <c r="AL3" s="46">
        <f>AJ3/(AJ3+AB3)</f>
        <v>0.55750666597555854</v>
      </c>
      <c r="AM3" s="7">
        <v>24.9</v>
      </c>
      <c r="AN3" s="7">
        <v>24.5</v>
      </c>
      <c r="AO3" s="7">
        <v>23.5</v>
      </c>
      <c r="AP3" s="7">
        <f>AVERAGE(AM3:AO3)</f>
        <v>24.3</v>
      </c>
      <c r="AQ3" s="7">
        <f>STDEV(AM3:AO3)</f>
        <v>0.72111025509279725</v>
      </c>
      <c r="AR3" s="7">
        <v>84.3</v>
      </c>
      <c r="AS3" s="7" t="s">
        <v>668</v>
      </c>
      <c r="AT3" s="7">
        <f>1/(2^AP3)*(10^9)</f>
        <v>48.414015552773144</v>
      </c>
      <c r="AU3" s="7">
        <f>AT3/L3</f>
        <v>12.699208415745547</v>
      </c>
      <c r="AV3" s="46">
        <f>AU3/AK3</f>
        <v>28.699208415745524</v>
      </c>
      <c r="AW3" s="7">
        <v>21.9</v>
      </c>
      <c r="AX3" s="7">
        <v>21.8</v>
      </c>
      <c r="AY3" s="7">
        <v>21.7</v>
      </c>
      <c r="AZ3" s="7">
        <f>AVERAGE(AW3:AY3)</f>
        <v>21.8</v>
      </c>
      <c r="BA3" s="7">
        <f>STDEV(AW3:AY3)</f>
        <v>9.9999999999999645E-2</v>
      </c>
      <c r="BB3" s="7">
        <v>88.4</v>
      </c>
      <c r="BC3" s="7" t="s">
        <v>685</v>
      </c>
      <c r="BD3" s="7">
        <f>1/(2^AZ3)*(10^9)</f>
        <v>273.87102961469526</v>
      </c>
      <c r="BE3" s="7">
        <f>BD3/L3</f>
        <v>71.837571091799688</v>
      </c>
      <c r="BF3" s="46">
        <f>BE3/AK3</f>
        <v>162.34723908367775</v>
      </c>
      <c r="BG3" s="7">
        <v>21.3</v>
      </c>
      <c r="BH3" s="7">
        <v>20.9</v>
      </c>
      <c r="BI3" s="7">
        <v>20.5</v>
      </c>
      <c r="BJ3" s="7">
        <f>AVERAGE(BG3:BI3)</f>
        <v>20.900000000000002</v>
      </c>
      <c r="BK3" s="7">
        <f>STDEV(BG3:BI3)</f>
        <v>0.40000000000000036</v>
      </c>
      <c r="BL3" s="7">
        <v>83.8</v>
      </c>
      <c r="BM3" s="7" t="s">
        <v>743</v>
      </c>
      <c r="BN3" s="7">
        <f>1/(2^BJ3)*(10^9)</f>
        <v>511.06141211332903</v>
      </c>
      <c r="BO3" s="7">
        <f>BN3/L3</f>
        <v>134.05364772103977</v>
      </c>
      <c r="BP3" s="46">
        <f>BO3/AK3</f>
        <v>302.95066029997008</v>
      </c>
      <c r="BQ3" s="7">
        <v>26.5</v>
      </c>
      <c r="BR3" s="7">
        <v>25.7</v>
      </c>
      <c r="BS3" s="7">
        <v>25.6</v>
      </c>
      <c r="BT3" s="7">
        <f>AVERAGE(BQ3:BS3)</f>
        <v>25.933333333333337</v>
      </c>
      <c r="BU3" s="7">
        <f>STDEV(BQ3:BS3)</f>
        <v>0.49328828623162441</v>
      </c>
      <c r="BV3" s="7">
        <v>82.2</v>
      </c>
      <c r="BX3" s="7">
        <f>1/(2^BT3)*(10^9)</f>
        <v>15.605898541519398</v>
      </c>
      <c r="BY3" s="7">
        <f>BX3/L3</f>
        <v>4.0934955679870777</v>
      </c>
      <c r="BZ3" s="46">
        <f>BY3/AK3</f>
        <v>9.2509768017453791</v>
      </c>
      <c r="CA3" s="7">
        <v>30.2</v>
      </c>
      <c r="CB3" s="7">
        <v>30.4</v>
      </c>
      <c r="CC3" s="7">
        <v>29.7</v>
      </c>
      <c r="CD3" s="7">
        <f>AVERAGE(CA3:CC3)</f>
        <v>30.099999999999998</v>
      </c>
      <c r="CE3" s="7">
        <f>STDEV(CA3:CC3)</f>
        <v>0.36055512754639862</v>
      </c>
      <c r="CF3" s="7">
        <v>83.7</v>
      </c>
      <c r="CH3" s="7">
        <f>1/(2^CD3)*(10^9)</f>
        <v>0.86895468787924457</v>
      </c>
      <c r="CI3" s="7">
        <f>CH3/L3</f>
        <v>0.22793062213955445</v>
      </c>
      <c r="CJ3" s="46">
        <f>CI3/AK3</f>
        <v>0.51510521088881422</v>
      </c>
      <c r="CK3" s="7">
        <v>25.5</v>
      </c>
      <c r="CL3" s="7">
        <v>24.6</v>
      </c>
      <c r="CM3" s="7">
        <v>24.6</v>
      </c>
      <c r="CN3" s="7">
        <f>AVERAGE(CK3:CM3)</f>
        <v>24.900000000000002</v>
      </c>
      <c r="CO3" s="7">
        <f>STDEV(CK3:CM3)</f>
        <v>0.51961524227066236</v>
      </c>
      <c r="CP3" s="7">
        <v>82.5</v>
      </c>
      <c r="CQ3" s="7" t="s">
        <v>685</v>
      </c>
      <c r="CR3" s="7">
        <f>1/(2^CN3)*(10^9)</f>
        <v>31.941338257083107</v>
      </c>
      <c r="CS3" s="7">
        <f>CR3/L3</f>
        <v>8.3783529825649961</v>
      </c>
      <c r="CT3" s="46">
        <f>CS3/AL3</f>
        <v>15.028256151707266</v>
      </c>
      <c r="CU3" s="7">
        <v>25.9</v>
      </c>
      <c r="CV3" s="7">
        <v>26.3</v>
      </c>
      <c r="CW3" s="7">
        <v>25.2</v>
      </c>
      <c r="CX3" s="7">
        <f>AVERAGE(CU3:CW3)</f>
        <v>25.8</v>
      </c>
      <c r="CY3" s="7">
        <f>STDEV(CU3:CW3)</f>
        <v>0.55677643628300277</v>
      </c>
      <c r="CZ3" s="7">
        <v>83.7</v>
      </c>
      <c r="DA3" s="7" t="s">
        <v>751</v>
      </c>
      <c r="DB3" s="7">
        <f>1/(2^CX3)*(10^9)</f>
        <v>17.11693935091845</v>
      </c>
      <c r="DC3" s="7">
        <f>DB3/L3</f>
        <v>4.4898481932374787</v>
      </c>
      <c r="DD3" s="46">
        <f>DC3/AL3</f>
        <v>8.0534430657988167</v>
      </c>
      <c r="DE3" s="31">
        <v>22.5</v>
      </c>
      <c r="DF3">
        <v>21.1</v>
      </c>
      <c r="DG3">
        <v>21.1</v>
      </c>
      <c r="DH3" s="7">
        <f>AVERAGE(DF3:DG3)</f>
        <v>21.1</v>
      </c>
      <c r="DI3" s="7">
        <f>STDEV(DE3:DG3)</f>
        <v>0.80829037686547522</v>
      </c>
      <c r="DJ3">
        <v>81.400000000000006</v>
      </c>
      <c r="DK3" t="s">
        <v>671</v>
      </c>
      <c r="DL3" s="7">
        <f>1/(2^DH3)*(10^9)</f>
        <v>444.90480019417117</v>
      </c>
      <c r="DM3" s="7">
        <f>DL3/T3</f>
        <v>1552.0937641066462</v>
      </c>
      <c r="DN3" s="46">
        <f>DM3/AL3</f>
        <v>2783.9914010547291</v>
      </c>
      <c r="DO3" s="10">
        <v>22.7</v>
      </c>
      <c r="DP3" s="7">
        <v>21.7</v>
      </c>
      <c r="DQ3" s="7">
        <v>21.5</v>
      </c>
      <c r="DR3" s="7">
        <f>AVERAGE(DP3:DQ3)</f>
        <v>21.6</v>
      </c>
      <c r="DS3" s="7">
        <f>STDEV(DO3:DQ3)</f>
        <v>0.64291005073286334</v>
      </c>
      <c r="DT3" s="7">
        <v>80.900000000000006</v>
      </c>
      <c r="DU3" s="7" t="s">
        <v>671</v>
      </c>
      <c r="DV3" s="7">
        <f>1/(2^DR3)*(10^9)</f>
        <v>314.59520119974474</v>
      </c>
      <c r="DW3" s="7">
        <f>DV3/T3</f>
        <v>1097.4960256371642</v>
      </c>
      <c r="DX3" s="46">
        <f>DW3/AL3</f>
        <v>1968.579198450838</v>
      </c>
      <c r="DY3" s="10">
        <v>22.1</v>
      </c>
      <c r="DZ3" s="7">
        <v>21.5</v>
      </c>
      <c r="EA3" s="7">
        <v>21.5</v>
      </c>
      <c r="EB3" s="7">
        <f>AVERAGE(DZ3:EA3)</f>
        <v>21.5</v>
      </c>
      <c r="EC3" s="7">
        <f>STDEV(DY3:EA3)</f>
        <v>0.34641016151377624</v>
      </c>
      <c r="ED3" s="7">
        <v>83.5</v>
      </c>
      <c r="EE3" s="7" t="s">
        <v>671</v>
      </c>
      <c r="EF3" s="7">
        <f>1/(2^EB3)*(10^9)</f>
        <v>337.17478808715248</v>
      </c>
      <c r="EG3" s="7">
        <f>EF3/L3</f>
        <v>88.442424317937508</v>
      </c>
      <c r="EH3" s="46">
        <f>EG3/AL3</f>
        <v>158.63922301839327</v>
      </c>
      <c r="EI3" s="7">
        <v>20.9</v>
      </c>
      <c r="EJ3" s="7">
        <v>20.7</v>
      </c>
      <c r="EK3" s="7">
        <v>20.8</v>
      </c>
      <c r="EL3" s="7">
        <f>AVERAGE(EI3:EK3)</f>
        <v>20.799999999999997</v>
      </c>
      <c r="EM3" s="7">
        <f>STDEV(EI3:EK3)</f>
        <v>9.9999999999999645E-2</v>
      </c>
      <c r="EN3" s="7">
        <v>84.6</v>
      </c>
      <c r="EO3"/>
      <c r="EP3" s="7">
        <f>1/(2^EL3)*(10^9)</f>
        <v>547.74205922939154</v>
      </c>
      <c r="EQ3" s="7">
        <f>EP3/T3</f>
        <v>1910.851566667385</v>
      </c>
      <c r="ER3" s="46">
        <f>EQ3/AL3</f>
        <v>3427.4954602088255</v>
      </c>
      <c r="ES3" s="7">
        <v>22.7</v>
      </c>
      <c r="ET3" s="7">
        <v>22.4</v>
      </c>
      <c r="EU3" s="7">
        <v>22.3</v>
      </c>
      <c r="EV3" s="7">
        <f>AVERAGE(ES3:EU3)</f>
        <v>22.466666666666665</v>
      </c>
      <c r="EW3" s="7">
        <f>STDEV(ES3:EU3)</f>
        <v>0.20816659994661282</v>
      </c>
      <c r="EX3" s="7">
        <v>81.3</v>
      </c>
      <c r="EZ3" s="7">
        <f>1/(2^EV3)*(10^9)</f>
        <v>172.52793758396879</v>
      </c>
      <c r="FA3" s="7">
        <f>EZ3/T3</f>
        <v>601.88052801720903</v>
      </c>
      <c r="FB3" s="46">
        <f>FA3/AL3</f>
        <v>1079.5934196840542</v>
      </c>
      <c r="FC3">
        <v>22.5</v>
      </c>
      <c r="FD3" s="31">
        <v>23.6</v>
      </c>
      <c r="FE3">
        <v>22.3</v>
      </c>
      <c r="FF3" s="7">
        <f>AVERAGE(FC3,FE3)</f>
        <v>22.4</v>
      </c>
      <c r="FG3" s="7">
        <f>STDEV(FC3,FE3)</f>
        <v>0.141421356237309</v>
      </c>
      <c r="FH3">
        <v>80.400000000000006</v>
      </c>
      <c r="FI3" t="s">
        <v>671</v>
      </c>
      <c r="FJ3" s="7">
        <f>1/(2^FF3)*(10^9)</f>
        <v>180.68749505405432</v>
      </c>
      <c r="FK3" t="s">
        <v>830</v>
      </c>
      <c r="FL3"/>
      <c r="FM3"/>
      <c r="FN3" s="7" t="e">
        <f>AVERAGE(FK3:FM3)</f>
        <v>#DIV/0!</v>
      </c>
      <c r="FO3" s="7" t="e">
        <f>STDEV(FK3:FM3)</f>
        <v>#DIV/0!</v>
      </c>
      <c r="FP3"/>
      <c r="FQ3"/>
      <c r="FR3" s="7" t="e">
        <f>1/(2^FN3)*(10^9)</f>
        <v>#DIV/0!</v>
      </c>
      <c r="FS3" s="46" t="s">
        <v>831</v>
      </c>
    </row>
    <row r="4" spans="1:176" s="7" customFormat="1">
      <c r="A4" s="7" t="s">
        <v>550</v>
      </c>
      <c r="B4" s="7" t="s">
        <v>634</v>
      </c>
      <c r="C4" s="7">
        <v>6</v>
      </c>
      <c r="D4" s="7" t="s">
        <v>637</v>
      </c>
      <c r="E4" s="7">
        <v>29.5</v>
      </c>
      <c r="F4" s="7">
        <v>29.8</v>
      </c>
      <c r="G4" s="7">
        <v>30.4</v>
      </c>
      <c r="H4" s="7">
        <f t="shared" ref="H4:H26" si="0">AVERAGE(E4:G4)</f>
        <v>29.899999999999995</v>
      </c>
      <c r="I4" s="7">
        <f t="shared" ref="I4:I26" si="1">STDEV(E4:G4)</f>
        <v>0.45825756949558316</v>
      </c>
      <c r="J4" s="7">
        <v>81.5</v>
      </c>
      <c r="K4" s="7" t="s">
        <v>646</v>
      </c>
      <c r="L4" s="46">
        <f t="shared" ref="L4:L26" si="2">1/(2^H4)*(10^9)</f>
        <v>0.99816682053385197</v>
      </c>
      <c r="M4" s="32">
        <v>30.7</v>
      </c>
      <c r="N4" s="32">
        <v>31.4</v>
      </c>
      <c r="O4" s="32">
        <v>31</v>
      </c>
      <c r="P4" s="32">
        <f t="shared" ref="P4:P27" si="3">AVERAGE(M4:O4)</f>
        <v>31.033333333333331</v>
      </c>
      <c r="Q4" s="32">
        <f t="shared" ref="Q4:Q25" si="4">STDEV(M4:O4)</f>
        <v>0.35118845842842422</v>
      </c>
      <c r="R4" s="32">
        <v>80.8</v>
      </c>
      <c r="S4" s="32"/>
      <c r="T4" s="46">
        <f t="shared" ref="T4:T25" si="5">1/(2^P4)*(10^9)</f>
        <v>0.45502556880668127</v>
      </c>
      <c r="U4" s="7" t="s">
        <v>715</v>
      </c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6">
        <v>1.0999999999999999E-2</v>
      </c>
      <c r="AL4" s="46">
        <f>1-AK4</f>
        <v>0.98899999999999999</v>
      </c>
      <c r="AM4" s="7">
        <v>26.6</v>
      </c>
      <c r="AN4" s="7">
        <v>27</v>
      </c>
      <c r="AO4" s="7">
        <v>26.9</v>
      </c>
      <c r="AP4" s="7">
        <f t="shared" ref="AP4:AP28" si="6">AVERAGE(AM4:AO4)</f>
        <v>26.833333333333332</v>
      </c>
      <c r="AQ4" s="7">
        <f t="shared" ref="AQ4:AQ26" si="7">STDEV(AM4:AO4)</f>
        <v>0.20816659994661224</v>
      </c>
      <c r="AR4" s="7">
        <v>84.3</v>
      </c>
      <c r="AS4" s="7" t="s">
        <v>669</v>
      </c>
      <c r="AT4" s="7">
        <f t="shared" ref="AT4:AT26" si="8">1/(2^AP4)*(10^9)</f>
        <v>8.3629939579171886</v>
      </c>
      <c r="AU4" s="7">
        <f t="shared" ref="AU4:AU26" si="9">AT4/L4</f>
        <v>8.3783529825649676</v>
      </c>
      <c r="AV4" s="48">
        <f t="shared" ref="AV4:AV26" si="10">AU4/AK4</f>
        <v>761.66845296045165</v>
      </c>
      <c r="AW4" s="10">
        <v>22.8</v>
      </c>
      <c r="AX4" s="7">
        <v>23.6</v>
      </c>
      <c r="AY4" s="7">
        <v>23.7</v>
      </c>
      <c r="AZ4" s="7">
        <f>AVERAGE(AX4:AY4)</f>
        <v>23.65</v>
      </c>
      <c r="BA4" s="7">
        <f t="shared" ref="BA4:BA26" si="11">STDEV(AW4:AY4)</f>
        <v>0.49328828623162441</v>
      </c>
      <c r="BB4" s="7">
        <v>88.4</v>
      </c>
      <c r="BC4" s="7" t="s">
        <v>671</v>
      </c>
      <c r="BD4" s="7">
        <f t="shared" ref="BD4:BD26" si="12">1/(2^AZ4)*(10^9)</f>
        <v>75.969733436063876</v>
      </c>
      <c r="BE4" s="7">
        <f t="shared" ref="BE4:BE26" si="13">BD4/L4</f>
        <v>76.109255360173961</v>
      </c>
      <c r="BF4" s="48">
        <f t="shared" ref="BF4:BF26" si="14">BE4/AK4</f>
        <v>6919.0232145612699</v>
      </c>
      <c r="BG4" s="7">
        <v>22.5</v>
      </c>
      <c r="BH4" s="7">
        <v>22.9</v>
      </c>
      <c r="BI4" s="7">
        <v>22.9</v>
      </c>
      <c r="BJ4" s="7">
        <f t="shared" ref="BJ4:BJ27" si="15">AVERAGE(BG4:BI4)</f>
        <v>22.766666666666666</v>
      </c>
      <c r="BK4" s="7">
        <f t="shared" ref="BK4:BK26" si="16">STDEV(BG4:BI4)</f>
        <v>0.23094010767584949</v>
      </c>
      <c r="BL4" s="7">
        <v>83.7</v>
      </c>
      <c r="BM4" s="7" t="s">
        <v>743</v>
      </c>
      <c r="BN4" s="7">
        <f t="shared" ref="BN4:BN26" si="17">1/(2^BJ4)*(10^9)</f>
        <v>140.13623074097757</v>
      </c>
      <c r="BO4" s="7">
        <f t="shared" ref="BO4:BO26" si="18">BN4/L4</f>
        <v>140.39359740091157</v>
      </c>
      <c r="BP4" s="48">
        <f t="shared" ref="BP4:BP26" si="19">BO4/AK4</f>
        <v>12763.05430917378</v>
      </c>
      <c r="BQ4" s="7">
        <v>27.9</v>
      </c>
      <c r="BR4" s="7">
        <v>28.3</v>
      </c>
      <c r="BS4" s="7">
        <v>28</v>
      </c>
      <c r="BT4" s="7">
        <f t="shared" ref="BT4:BT26" si="20">AVERAGE(BQ4:BS4)</f>
        <v>28.066666666666666</v>
      </c>
      <c r="BU4" s="7">
        <f t="shared" ref="BU4:BU26" si="21">STDEV(BQ4:BS4)</f>
        <v>0.20816659994661424</v>
      </c>
      <c r="BV4" s="7">
        <v>82.2</v>
      </c>
      <c r="BX4" s="7">
        <f t="shared" ref="BX4:BX26" si="22">1/(2^BT4)*(10^9)</f>
        <v>3.5570621636152944</v>
      </c>
      <c r="BY4" s="7">
        <f t="shared" ref="BY4:BY26" si="23">BX4/L4</f>
        <v>3.5635948725613442</v>
      </c>
      <c r="BZ4" s="48">
        <f t="shared" ref="BZ4:BZ26" si="24">BY4/AK4</f>
        <v>323.96317023284951</v>
      </c>
      <c r="CA4" s="7">
        <v>31.8</v>
      </c>
      <c r="CB4" s="7">
        <v>31.7</v>
      </c>
      <c r="CC4" s="7">
        <v>32.4</v>
      </c>
      <c r="CD4" s="7">
        <f t="shared" ref="CD4:CD25" si="25">AVERAGE(CA4:CC4)</f>
        <v>31.966666666666669</v>
      </c>
      <c r="CE4" s="7">
        <f t="shared" ref="CE4:CE27" si="26">STDEV(CA4:CC4)</f>
        <v>0.37859388972001751</v>
      </c>
      <c r="CF4" s="7">
        <v>83.5</v>
      </c>
      <c r="CG4" s="7" t="s">
        <v>685</v>
      </c>
      <c r="CH4" s="7">
        <f t="shared" ref="CH4:CH26" si="27">1/(2^CD4)*(10^9)</f>
        <v>0.23827280197217446</v>
      </c>
      <c r="CI4" s="7">
        <f>CH4/L4</f>
        <v>0.23871040097760257</v>
      </c>
      <c r="CJ4" s="48">
        <f t="shared" ref="CJ4:CJ26" si="28">CI4/AK4</f>
        <v>21.700945543418417</v>
      </c>
      <c r="CK4" s="7">
        <v>23.2</v>
      </c>
      <c r="CL4" s="7">
        <v>23.6</v>
      </c>
      <c r="CM4" s="7">
        <v>23.7</v>
      </c>
      <c r="CN4" s="7">
        <f t="shared" ref="CN4:CN22" si="29">AVERAGE(CK4:CM4)</f>
        <v>23.5</v>
      </c>
      <c r="CO4" s="7">
        <f t="shared" ref="CO4:CO26" si="30">STDEV(CK4:CM4)</f>
        <v>0.26457513110645947</v>
      </c>
      <c r="CP4" s="7">
        <v>82.5</v>
      </c>
      <c r="CQ4" s="7" t="s">
        <v>685</v>
      </c>
      <c r="CR4" s="7">
        <f t="shared" ref="CR4:CR26" si="31">1/(2^CN4)*(10^9)</f>
        <v>84.293697021787963</v>
      </c>
      <c r="CS4" s="7">
        <f t="shared" ref="CS4:CS26" si="32">CR4/L4</f>
        <v>84.448506289464689</v>
      </c>
      <c r="CT4" s="46">
        <f t="shared" ref="CT4:CT26" si="33">CS4/AL4</f>
        <v>85.387771779034068</v>
      </c>
      <c r="CU4" s="7">
        <v>25.3</v>
      </c>
      <c r="CV4" s="7">
        <v>26</v>
      </c>
      <c r="CW4" s="7">
        <v>25.9</v>
      </c>
      <c r="CX4" s="7">
        <f t="shared" ref="CX4:CX25" si="34">AVERAGE(CU4:CW4)</f>
        <v>25.733333333333331</v>
      </c>
      <c r="CY4" s="7">
        <f t="shared" ref="CY4:CY27" si="35">STDEV(CU4:CW4)</f>
        <v>0.37859388972001751</v>
      </c>
      <c r="CZ4" s="7">
        <v>83.7</v>
      </c>
      <c r="DB4" s="7">
        <f t="shared" ref="DB4:DB26" si="36">1/(2^CX4)*(10^9)</f>
        <v>17.926469982894055</v>
      </c>
      <c r="DC4" s="7">
        <f t="shared" ref="DC4:DC26" si="37">DB4/L4</f>
        <v>17.959392772949915</v>
      </c>
      <c r="DD4" s="46">
        <f t="shared" ref="DD4:DD26" si="38">DC4/AL4</f>
        <v>18.159143349797692</v>
      </c>
      <c r="DE4">
        <v>20.7</v>
      </c>
      <c r="DF4">
        <v>20.8</v>
      </c>
      <c r="DG4">
        <v>20.8</v>
      </c>
      <c r="DH4" s="7">
        <f t="shared" ref="DH4:DH25" si="39">AVERAGE(DE4:DG4)</f>
        <v>20.766666666666666</v>
      </c>
      <c r="DI4" s="7">
        <f t="shared" ref="DI4:DI25" si="40">STDEV(DE4:DG4)</f>
        <v>5.77350269189634E-2</v>
      </c>
      <c r="DJ4">
        <v>81.7</v>
      </c>
      <c r="DK4"/>
      <c r="DL4" s="7">
        <f t="shared" ref="DL4:DL25" si="41">1/(2^DH4)*(10^9)</f>
        <v>560.54492296391027</v>
      </c>
      <c r="DM4" s="7">
        <f t="shared" ref="DM4:DM25" si="42">DL4/T4</f>
        <v>1231.8976369480879</v>
      </c>
      <c r="DN4" s="46">
        <f t="shared" ref="DN4:DN25" si="43">DM4/AL4</f>
        <v>1245.5992284611607</v>
      </c>
      <c r="DO4" s="7">
        <v>20.8</v>
      </c>
      <c r="DP4" s="7">
        <v>20.9</v>
      </c>
      <c r="DQ4" s="7">
        <v>21</v>
      </c>
      <c r="DR4" s="7">
        <f t="shared" ref="DR4:DR21" si="44">AVERAGE(DO4:DQ4)</f>
        <v>20.900000000000002</v>
      </c>
      <c r="DS4" s="7">
        <f t="shared" ref="DS4:DS25" si="45">STDEV(DO4:DQ4)</f>
        <v>9.9999999999999645E-2</v>
      </c>
      <c r="DT4" s="7">
        <v>81.3</v>
      </c>
      <c r="DV4" s="7">
        <f t="shared" ref="DV4:DV25" si="46">1/(2^DR4)*(10^9)</f>
        <v>511.06141211332903</v>
      </c>
      <c r="DW4" s="7">
        <f t="shared" ref="DW4:DW25" si="47">DV4/T4</f>
        <v>1123.1487792072949</v>
      </c>
      <c r="DX4" s="46">
        <f t="shared" ref="DX4:DX26" si="48">DW4/AL4</f>
        <v>1135.6408283188016</v>
      </c>
      <c r="DY4" s="7">
        <v>21.1</v>
      </c>
      <c r="DZ4" s="7">
        <v>21.1</v>
      </c>
      <c r="EA4" s="7">
        <v>21.1</v>
      </c>
      <c r="EB4" s="7">
        <f>AVERAGE(DY4:EA4)</f>
        <v>21.1</v>
      </c>
      <c r="EC4" s="7">
        <f t="shared" ref="EC4:EC25" si="49">STDEV(DY4:EA4)</f>
        <v>0</v>
      </c>
      <c r="ED4" s="7">
        <v>83.6</v>
      </c>
      <c r="EF4" s="7">
        <f t="shared" ref="EF4:EF25" si="50">1/(2^EB4)*(10^9)</f>
        <v>444.90480019417117</v>
      </c>
      <c r="EG4" s="7">
        <f t="shared" ref="EG4:EG25" si="51">EF4/L4</f>
        <v>445.72188840761271</v>
      </c>
      <c r="EH4" s="46">
        <f t="shared" ref="EH4:EH25" si="52">EG4/AL4</f>
        <v>450.6793613828238</v>
      </c>
      <c r="EI4" s="7">
        <v>21.1</v>
      </c>
      <c r="EJ4" s="7">
        <v>21.1</v>
      </c>
      <c r="EK4" s="7">
        <v>20.8</v>
      </c>
      <c r="EL4" s="7">
        <f>AVERAGE(EI4:EK4)</f>
        <v>21</v>
      </c>
      <c r="EM4" s="7">
        <f t="shared" ref="EM4:EM25" si="53">STDEV(EI4:EK4)</f>
        <v>0.17320508075688815</v>
      </c>
      <c r="EN4" s="7">
        <v>84.8</v>
      </c>
      <c r="EO4"/>
      <c r="EP4" s="7">
        <f t="shared" ref="EP4:EP26" si="54">1/(2^EL4)*(10^9)</f>
        <v>476.837158203125</v>
      </c>
      <c r="EQ4" s="7">
        <f t="shared" ref="EQ4:EQ25" si="55">EP4/T4</f>
        <v>1047.9348654046964</v>
      </c>
      <c r="ER4" s="46">
        <f t="shared" ref="ER4:ER25" si="56">EQ4/AL4</f>
        <v>1059.5903593576304</v>
      </c>
      <c r="ES4" s="7">
        <v>20.7</v>
      </c>
      <c r="ET4" s="7">
        <v>20.9</v>
      </c>
      <c r="EU4" s="7">
        <v>20.9</v>
      </c>
      <c r="EV4" s="7">
        <f>AVERAGE(ES4:EU4)</f>
        <v>20.833333333333332</v>
      </c>
      <c r="EW4" s="7">
        <f t="shared" ref="EW4:EW25" si="57">STDEV(ES4:EU4)</f>
        <v>0.11547005383792475</v>
      </c>
      <c r="EX4" s="7">
        <v>81.400000000000006</v>
      </c>
      <c r="EZ4" s="7">
        <f t="shared" ref="EZ4:EZ25" si="58">1/(2^EV4)*(10^9)</f>
        <v>535.23161330670132</v>
      </c>
      <c r="FA4" s="7">
        <f t="shared" ref="FA4:FA25" si="59">EZ4/T4</f>
        <v>1176.2671155169651</v>
      </c>
      <c r="FB4" s="46">
        <f t="shared" ref="FB4:FB25" si="60">FA4/AL4</f>
        <v>1189.3499651334328</v>
      </c>
      <c r="FC4" s="45">
        <v>29.6</v>
      </c>
      <c r="FD4" s="45">
        <v>28.3</v>
      </c>
      <c r="FE4" s="45">
        <v>28.9</v>
      </c>
      <c r="FF4" s="7">
        <f>AVERAGE(FC4:FE4)</f>
        <v>28.933333333333337</v>
      </c>
      <c r="FG4" s="7">
        <f>STDEV(FC4:FE4)</f>
        <v>0.65064070986477163</v>
      </c>
      <c r="FH4" s="45">
        <v>80.599999999999994</v>
      </c>
      <c r="FI4" s="45" t="s">
        <v>821</v>
      </c>
      <c r="FJ4" s="10">
        <f>1/(2^FF4)*(10^9)</f>
        <v>1.9507373176899281</v>
      </c>
      <c r="FK4" s="45"/>
      <c r="FL4" s="45"/>
      <c r="FM4" s="45"/>
      <c r="FN4" s="7" t="e">
        <f>AVERAGE(FK4:FM4)</f>
        <v>#DIV/0!</v>
      </c>
      <c r="FO4" s="7" t="e">
        <f>STDEV(FK4:FM4)</f>
        <v>#DIV/0!</v>
      </c>
      <c r="FP4" s="45"/>
      <c r="FQ4" s="45"/>
      <c r="FR4" s="7" t="e">
        <f>1/(2^FN4)*(10^9)</f>
        <v>#DIV/0!</v>
      </c>
      <c r="FS4" s="46" t="s">
        <v>831</v>
      </c>
    </row>
    <row r="5" spans="1:176" s="7" customFormat="1">
      <c r="A5" s="7" t="s">
        <v>551</v>
      </c>
      <c r="B5" s="7" t="s">
        <v>634</v>
      </c>
      <c r="C5" s="7">
        <v>6</v>
      </c>
      <c r="D5" s="7" t="s">
        <v>638</v>
      </c>
      <c r="E5" s="7">
        <v>30.1</v>
      </c>
      <c r="F5" s="7">
        <v>30.5</v>
      </c>
      <c r="G5" s="7">
        <v>30.4</v>
      </c>
      <c r="H5" s="7">
        <f t="shared" si="0"/>
        <v>30.333333333333332</v>
      </c>
      <c r="I5" s="7">
        <f t="shared" si="1"/>
        <v>0.20816659994661224</v>
      </c>
      <c r="J5" s="7">
        <v>81.599999999999994</v>
      </c>
      <c r="K5" s="7" t="s">
        <v>648</v>
      </c>
      <c r="L5" s="46">
        <f t="shared" si="2"/>
        <v>0.7391912173331715</v>
      </c>
      <c r="M5" s="32">
        <v>33</v>
      </c>
      <c r="N5" s="32">
        <v>32.6</v>
      </c>
      <c r="O5" s="32">
        <v>33</v>
      </c>
      <c r="P5" s="32">
        <f t="shared" si="3"/>
        <v>32.866666666666667</v>
      </c>
      <c r="Q5" s="32">
        <f t="shared" si="4"/>
        <v>0.23094010767584949</v>
      </c>
      <c r="R5" s="32">
        <v>80.8</v>
      </c>
      <c r="S5" s="32"/>
      <c r="T5" s="46">
        <f t="shared" si="5"/>
        <v>0.12768723299897128</v>
      </c>
      <c r="U5" s="7">
        <v>18.899999999999999</v>
      </c>
      <c r="V5" s="7">
        <v>18.7</v>
      </c>
      <c r="W5" s="7">
        <v>18.600000000000001</v>
      </c>
      <c r="X5" s="7">
        <f t="shared" ref="X5:X29" si="61">AVERAGE(U5:W5)</f>
        <v>18.733333333333331</v>
      </c>
      <c r="Y5" s="7">
        <f t="shared" ref="Y5:Y25" si="62">STDEV(U5:W5)</f>
        <v>0.15275252316519336</v>
      </c>
      <c r="Z5" s="7">
        <v>86.2</v>
      </c>
      <c r="AA5" s="7" t="s">
        <v>685</v>
      </c>
      <c r="AB5" s="7">
        <f t="shared" ref="AB5:AB25" si="63">1/(2^X5)</f>
        <v>2.2945881578104409E-6</v>
      </c>
      <c r="AC5" s="7">
        <v>17.2</v>
      </c>
      <c r="AD5" s="7">
        <v>17.399999999999999</v>
      </c>
      <c r="AE5" s="7" t="s">
        <v>86</v>
      </c>
      <c r="AF5" s="7">
        <f t="shared" ref="AF5:AF28" si="64">AVERAGE(AC5:AE5)</f>
        <v>17.299999999999997</v>
      </c>
      <c r="AG5" s="7">
        <f t="shared" ref="AG5:AG20" si="65">STDEV(AC5:AE5)</f>
        <v>0.141421356237309</v>
      </c>
      <c r="AH5" s="7">
        <v>83.4</v>
      </c>
      <c r="AI5" s="7" t="s">
        <v>685</v>
      </c>
      <c r="AJ5" s="7">
        <f t="shared" ref="AJ5:AJ24" si="66">1/(2^AF5)</f>
        <v>6.1969939907549881E-6</v>
      </c>
      <c r="AK5" s="46">
        <f t="shared" ref="AK5:AK24" si="67">AB5/(AB5+AJ5)</f>
        <v>0.2702191555902323</v>
      </c>
      <c r="AL5" s="46">
        <f t="shared" ref="AL5:AL24" si="68">AJ5/(AJ5+AB5)</f>
        <v>0.72978084440976765</v>
      </c>
      <c r="AM5" s="7">
        <v>27.8</v>
      </c>
      <c r="AN5" s="7">
        <v>27.8</v>
      </c>
      <c r="AO5" s="7">
        <v>27</v>
      </c>
      <c r="AP5" s="7">
        <f t="shared" si="6"/>
        <v>27.533333333333331</v>
      </c>
      <c r="AQ5" s="7">
        <f t="shared" si="7"/>
        <v>0.46188021535170104</v>
      </c>
      <c r="AR5" s="7">
        <v>84.3</v>
      </c>
      <c r="AS5" s="7" t="s">
        <v>670</v>
      </c>
      <c r="AT5" s="7">
        <f t="shared" si="8"/>
        <v>5.1480266450635233</v>
      </c>
      <c r="AU5" s="7">
        <f t="shared" si="9"/>
        <v>6.9644045063689957</v>
      </c>
      <c r="AV5" s="46">
        <f t="shared" si="10"/>
        <v>25.773171006906736</v>
      </c>
      <c r="AW5" s="7">
        <v>24.6</v>
      </c>
      <c r="AX5" s="7">
        <v>24.4</v>
      </c>
      <c r="AY5" s="7">
        <v>24.6</v>
      </c>
      <c r="AZ5" s="7">
        <f t="shared" ref="AZ5:AZ26" si="69">AVERAGE(AW5:AY5)</f>
        <v>24.533333333333331</v>
      </c>
      <c r="BA5" s="7">
        <f t="shared" si="11"/>
        <v>0.1154700538379268</v>
      </c>
      <c r="BB5" s="7">
        <v>88.4</v>
      </c>
      <c r="BC5" s="7" t="s">
        <v>686</v>
      </c>
      <c r="BD5" s="7">
        <f t="shared" si="12"/>
        <v>41.184213160508264</v>
      </c>
      <c r="BE5" s="7">
        <f t="shared" si="13"/>
        <v>55.715236050952072</v>
      </c>
      <c r="BF5" s="46">
        <f t="shared" si="14"/>
        <v>206.18536805525429</v>
      </c>
      <c r="BG5" s="7">
        <v>23.8</v>
      </c>
      <c r="BH5" s="7">
        <v>23.6</v>
      </c>
      <c r="BI5" s="7">
        <v>23.6</v>
      </c>
      <c r="BJ5" s="7">
        <f t="shared" si="15"/>
        <v>23.666666666666668</v>
      </c>
      <c r="BK5" s="7">
        <f t="shared" si="16"/>
        <v>0.11547005383792475</v>
      </c>
      <c r="BL5" s="7">
        <v>83.7</v>
      </c>
      <c r="BM5" s="7" t="s">
        <v>743</v>
      </c>
      <c r="BN5" s="7">
        <f t="shared" si="17"/>
        <v>75.097146624021022</v>
      </c>
      <c r="BO5" s="7">
        <f t="shared" si="18"/>
        <v>101.5936673259646</v>
      </c>
      <c r="BP5" s="46">
        <f t="shared" si="19"/>
        <v>375.96767373525512</v>
      </c>
      <c r="BQ5" s="7">
        <v>28</v>
      </c>
      <c r="BR5" s="7">
        <v>28.4</v>
      </c>
      <c r="BS5" s="7">
        <v>28</v>
      </c>
      <c r="BT5" s="7">
        <f t="shared" si="20"/>
        <v>28.133333333333336</v>
      </c>
      <c r="BU5" s="7">
        <f t="shared" si="21"/>
        <v>0.23094010767584949</v>
      </c>
      <c r="BV5" s="7">
        <v>82.2</v>
      </c>
      <c r="BX5" s="7">
        <f t="shared" si="22"/>
        <v>3.3964309415154741</v>
      </c>
      <c r="BY5" s="7">
        <f t="shared" si="23"/>
        <v>4.5947934199881324</v>
      </c>
      <c r="BZ5" s="46">
        <f t="shared" si="24"/>
        <v>17.003951514657984</v>
      </c>
      <c r="CA5" s="7">
        <v>32.299999999999997</v>
      </c>
      <c r="CB5" s="7">
        <v>33</v>
      </c>
      <c r="CC5" s="7">
        <v>33.9</v>
      </c>
      <c r="CD5" s="7">
        <f t="shared" si="25"/>
        <v>33.066666666666663</v>
      </c>
      <c r="CE5" s="7">
        <f t="shared" si="26"/>
        <v>0.80208062770106492</v>
      </c>
      <c r="CF5" s="7">
        <v>83.5</v>
      </c>
      <c r="CG5" s="7" t="s">
        <v>661</v>
      </c>
      <c r="CH5" s="7">
        <f t="shared" si="27"/>
        <v>0.11115819261297809</v>
      </c>
      <c r="CI5" s="7">
        <f t="shared" ref="CI5:CI25" si="70">CH5/L5</f>
        <v>0.15037812951026497</v>
      </c>
      <c r="CJ5" s="46">
        <f t="shared" si="28"/>
        <v>0.55650432768838365</v>
      </c>
      <c r="CK5" s="7">
        <v>24.3</v>
      </c>
      <c r="CL5" s="7">
        <v>23.9</v>
      </c>
      <c r="CM5" s="7">
        <v>23.3</v>
      </c>
      <c r="CN5" s="7">
        <f t="shared" si="29"/>
        <v>23.833333333333332</v>
      </c>
      <c r="CO5" s="7">
        <f t="shared" si="30"/>
        <v>0.50332229568471654</v>
      </c>
      <c r="CP5" s="7">
        <v>82.4</v>
      </c>
      <c r="CQ5" s="7" t="s">
        <v>685</v>
      </c>
      <c r="CR5" s="7">
        <f t="shared" si="31"/>
        <v>66.903951663337651</v>
      </c>
      <c r="CS5" s="7">
        <f t="shared" si="32"/>
        <v>90.509667991878217</v>
      </c>
      <c r="CT5" s="46">
        <f t="shared" si="33"/>
        <v>124.02307992213834</v>
      </c>
      <c r="CU5" s="7">
        <v>26.3</v>
      </c>
      <c r="CV5" s="7">
        <v>26.5</v>
      </c>
      <c r="CW5" s="7">
        <v>26.5</v>
      </c>
      <c r="CX5" s="7">
        <f t="shared" si="34"/>
        <v>26.433333333333334</v>
      </c>
      <c r="CY5" s="7">
        <f t="shared" si="35"/>
        <v>0.11547005383792475</v>
      </c>
      <c r="CZ5" s="7">
        <v>83.7</v>
      </c>
      <c r="DB5" s="7">
        <f t="shared" si="36"/>
        <v>11.035036685217648</v>
      </c>
      <c r="DC5" s="7">
        <f t="shared" si="37"/>
        <v>14.92852786458891</v>
      </c>
      <c r="DD5" s="46">
        <f t="shared" si="38"/>
        <v>20.456179384460015</v>
      </c>
      <c r="DE5">
        <v>21.6</v>
      </c>
      <c r="DF5">
        <v>21.5</v>
      </c>
      <c r="DG5">
        <v>21.3</v>
      </c>
      <c r="DH5" s="7">
        <f t="shared" si="39"/>
        <v>21.466666666666669</v>
      </c>
      <c r="DI5" s="7">
        <f t="shared" si="40"/>
        <v>0.15275252316519489</v>
      </c>
      <c r="DJ5">
        <v>81.599999999999994</v>
      </c>
      <c r="DK5"/>
      <c r="DL5" s="7">
        <f t="shared" si="41"/>
        <v>345.05587516793639</v>
      </c>
      <c r="DM5" s="7">
        <f t="shared" si="42"/>
        <v>2702.352201262881</v>
      </c>
      <c r="DN5" s="46">
        <f t="shared" si="43"/>
        <v>3702.9640089395471</v>
      </c>
      <c r="DO5" s="7">
        <v>22</v>
      </c>
      <c r="DP5" s="7">
        <v>21.9</v>
      </c>
      <c r="DQ5" s="7">
        <v>21.7</v>
      </c>
      <c r="DR5" s="7">
        <f t="shared" si="44"/>
        <v>21.866666666666664</v>
      </c>
      <c r="DS5" s="7">
        <f t="shared" si="45"/>
        <v>0.15275252316519491</v>
      </c>
      <c r="DT5" s="7">
        <v>81.3</v>
      </c>
      <c r="DV5" s="7">
        <f t="shared" si="46"/>
        <v>261.50345318189341</v>
      </c>
      <c r="DW5" s="7">
        <f t="shared" si="47"/>
        <v>2048.0000000000018</v>
      </c>
      <c r="DX5" s="46">
        <f t="shared" si="48"/>
        <v>2806.3219467707236</v>
      </c>
      <c r="DY5" s="7">
        <v>22.4</v>
      </c>
      <c r="DZ5" s="7">
        <v>22.2</v>
      </c>
      <c r="EA5" s="7">
        <v>22.2</v>
      </c>
      <c r="EB5" s="7">
        <f>AVERAGE(DY5:EA5)</f>
        <v>22.266666666666666</v>
      </c>
      <c r="EC5" s="7">
        <f t="shared" si="49"/>
        <v>0.11547005383792475</v>
      </c>
      <c r="ED5" s="7">
        <v>83.6</v>
      </c>
      <c r="EF5" s="7">
        <f t="shared" si="50"/>
        <v>198.18255809373571</v>
      </c>
      <c r="EG5" s="7">
        <f t="shared" si="51"/>
        <v>268.10729544208044</v>
      </c>
      <c r="EH5" s="46">
        <f t="shared" si="52"/>
        <v>367.38056019943951</v>
      </c>
      <c r="EI5" s="7">
        <v>22.9</v>
      </c>
      <c r="EJ5" s="7">
        <v>22.9</v>
      </c>
      <c r="EK5" s="7">
        <v>22.9</v>
      </c>
      <c r="EL5" s="7">
        <f>AVERAGE(EI5:EK5)</f>
        <v>22.899999999999995</v>
      </c>
      <c r="EM5" s="7">
        <f t="shared" si="53"/>
        <v>4.3511678576336583E-15</v>
      </c>
      <c r="EN5" s="7">
        <v>84.9</v>
      </c>
      <c r="EO5"/>
      <c r="EP5" s="7">
        <f t="shared" si="54"/>
        <v>127.7653530283329</v>
      </c>
      <c r="EQ5" s="7">
        <f t="shared" si="55"/>
        <v>1000.6118076766708</v>
      </c>
      <c r="ER5" s="46">
        <f t="shared" si="56"/>
        <v>1371.1127324614088</v>
      </c>
      <c r="ES5" s="7">
        <v>22.1</v>
      </c>
      <c r="ET5" s="7">
        <v>22.1</v>
      </c>
      <c r="EU5" s="7">
        <v>22.1</v>
      </c>
      <c r="EV5" s="7">
        <f>AVERAGE(ES5:EU5)</f>
        <v>22.100000000000005</v>
      </c>
      <c r="EW5" s="7">
        <f t="shared" si="57"/>
        <v>4.3511678576336583E-15</v>
      </c>
      <c r="EX5" s="7">
        <v>81.400000000000006</v>
      </c>
      <c r="EZ5" s="7">
        <f t="shared" si="58"/>
        <v>222.45240009708519</v>
      </c>
      <c r="FA5" s="7">
        <f t="shared" si="59"/>
        <v>1742.1663456273454</v>
      </c>
      <c r="FB5" s="46">
        <f t="shared" si="60"/>
        <v>2387.2459231735183</v>
      </c>
      <c r="FC5">
        <v>22.5</v>
      </c>
      <c r="FD5">
        <v>23.5</v>
      </c>
      <c r="FE5">
        <v>23.3</v>
      </c>
      <c r="FF5" s="7">
        <f>AVERAGE(FC5:FE5)</f>
        <v>23.099999999999998</v>
      </c>
      <c r="FG5" s="7">
        <f t="shared" ref="FG5:FG25" si="71">STDEV(FC5:FE5)</f>
        <v>0.52915026221291828</v>
      </c>
      <c r="FH5">
        <v>80.400000000000006</v>
      </c>
      <c r="FI5" s="45" t="s">
        <v>661</v>
      </c>
      <c r="FJ5" s="7">
        <f t="shared" ref="FJ5:FJ25" si="72">1/(2^FF5)*(10^9)</f>
        <v>111.22620004854316</v>
      </c>
      <c r="FK5"/>
      <c r="FL5"/>
      <c r="FM5"/>
      <c r="FN5" s="7" t="e">
        <f>AVERAGE(FK5:FM5)</f>
        <v>#DIV/0!</v>
      </c>
      <c r="FO5" s="7" t="e">
        <f t="shared" ref="FO5:FO25" si="73">STDEV(FK5:FM5)</f>
        <v>#DIV/0!</v>
      </c>
      <c r="FP5"/>
      <c r="FQ5"/>
      <c r="FR5" s="7" t="e">
        <f t="shared" ref="FR5:FR25" si="74">1/(2^FN5)*(10^9)</f>
        <v>#DIV/0!</v>
      </c>
      <c r="FS5" s="46" t="s">
        <v>831</v>
      </c>
    </row>
    <row r="6" spans="1:176" s="6" customFormat="1">
      <c r="A6" s="6" t="s">
        <v>552</v>
      </c>
      <c r="B6" s="6" t="s">
        <v>635</v>
      </c>
      <c r="C6" s="6">
        <v>6</v>
      </c>
      <c r="D6" s="6" t="s">
        <v>698</v>
      </c>
      <c r="E6" s="12">
        <v>28.6</v>
      </c>
      <c r="F6" s="6">
        <v>30.7</v>
      </c>
      <c r="G6" s="6">
        <v>30.7</v>
      </c>
      <c r="H6" s="6">
        <f>AVERAGE(F6:G6)</f>
        <v>30.7</v>
      </c>
      <c r="I6" s="6">
        <f t="shared" si="1"/>
        <v>1.2124355652982128</v>
      </c>
      <c r="J6" s="6">
        <v>81.599999999999994</v>
      </c>
      <c r="K6" s="6" t="s">
        <v>649</v>
      </c>
      <c r="L6" s="47">
        <f t="shared" si="2"/>
        <v>0.57329629237992608</v>
      </c>
      <c r="M6" s="56">
        <v>31.2</v>
      </c>
      <c r="N6" s="56">
        <v>31.7</v>
      </c>
      <c r="O6" s="59">
        <v>32.5</v>
      </c>
      <c r="P6" s="56">
        <f>AVERAGE(M6:N6)</f>
        <v>31.45</v>
      </c>
      <c r="Q6" s="56">
        <f t="shared" si="4"/>
        <v>0.65574385243020039</v>
      </c>
      <c r="R6" s="56">
        <v>80.8</v>
      </c>
      <c r="S6" s="56" t="s">
        <v>671</v>
      </c>
      <c r="T6" s="47">
        <f t="shared" si="5"/>
        <v>0.34088401495144371</v>
      </c>
      <c r="U6" s="6">
        <v>19.3</v>
      </c>
      <c r="V6" s="6">
        <v>19.7</v>
      </c>
      <c r="W6" s="12">
        <v>20.9</v>
      </c>
      <c r="X6" s="6">
        <f t="shared" si="61"/>
        <v>19.966666666666665</v>
      </c>
      <c r="Y6" s="6">
        <f t="shared" si="62"/>
        <v>0.83266639978645207</v>
      </c>
      <c r="Z6" s="6">
        <v>86.2</v>
      </c>
      <c r="AA6" s="6" t="s">
        <v>671</v>
      </c>
      <c r="AB6" s="6">
        <f t="shared" si="63"/>
        <v>9.7596539687802938E-7</v>
      </c>
      <c r="AC6" s="6">
        <v>16.7</v>
      </c>
      <c r="AD6" s="6" t="s">
        <v>86</v>
      </c>
      <c r="AE6" s="6">
        <v>18.2</v>
      </c>
      <c r="AF6" s="6">
        <f t="shared" si="64"/>
        <v>17.45</v>
      </c>
      <c r="AG6" s="6">
        <f t="shared" si="65"/>
        <v>1.0606601717798212</v>
      </c>
      <c r="AH6" s="6">
        <v>83.4</v>
      </c>
      <c r="AI6" s="6" t="s">
        <v>685</v>
      </c>
      <c r="AJ6" s="6">
        <f t="shared" si="66"/>
        <v>5.585043700964461E-6</v>
      </c>
      <c r="AK6" s="47">
        <f t="shared" si="67"/>
        <v>0.14875233097892884</v>
      </c>
      <c r="AL6" s="47">
        <f t="shared" si="68"/>
        <v>0.85124766902107118</v>
      </c>
      <c r="AM6" s="12">
        <v>26.5</v>
      </c>
      <c r="AN6" s="6">
        <v>27.8</v>
      </c>
      <c r="AO6" s="6">
        <v>27.7</v>
      </c>
      <c r="AP6" s="6">
        <f>AVERAGE(AN6:AO6)</f>
        <v>27.75</v>
      </c>
      <c r="AQ6" s="6">
        <f t="shared" si="7"/>
        <v>0.72341781380702352</v>
      </c>
      <c r="AR6" s="6">
        <v>84.4</v>
      </c>
      <c r="AS6" s="6" t="s">
        <v>671</v>
      </c>
      <c r="AT6" s="6">
        <f t="shared" si="8"/>
        <v>4.4301417283815248</v>
      </c>
      <c r="AU6" s="6">
        <f t="shared" si="9"/>
        <v>7.727490631398763</v>
      </c>
      <c r="AV6" s="47">
        <f t="shared" si="10"/>
        <v>51.948702790367584</v>
      </c>
      <c r="AW6" s="12">
        <v>22.9</v>
      </c>
      <c r="AX6" s="6">
        <v>24.3</v>
      </c>
      <c r="AY6" s="6">
        <v>25.3</v>
      </c>
      <c r="AZ6" s="6">
        <f>AVERAGE(AX6:AY6)</f>
        <v>24.8</v>
      </c>
      <c r="BA6" s="6">
        <f t="shared" si="11"/>
        <v>1.2055427546683428</v>
      </c>
      <c r="BB6" s="6">
        <v>88.4</v>
      </c>
      <c r="BC6" s="6" t="s">
        <v>671</v>
      </c>
      <c r="BD6" s="6">
        <f t="shared" si="12"/>
        <v>34.233878701836964</v>
      </c>
      <c r="BE6" s="6">
        <f t="shared" si="13"/>
        <v>59.714111458355667</v>
      </c>
      <c r="BF6" s="47">
        <f t="shared" si="14"/>
        <v>401.43311412588434</v>
      </c>
      <c r="BG6" s="6">
        <v>22.5</v>
      </c>
      <c r="BH6" s="6">
        <v>23</v>
      </c>
      <c r="BI6" s="6">
        <v>23.9</v>
      </c>
      <c r="BJ6" s="6">
        <f t="shared" si="15"/>
        <v>23.133333333333336</v>
      </c>
      <c r="BK6" s="6">
        <f t="shared" si="16"/>
        <v>0.70945988845975805</v>
      </c>
      <c r="BL6" s="6">
        <v>83.7</v>
      </c>
      <c r="BM6" s="6" t="s">
        <v>744</v>
      </c>
      <c r="BN6" s="6">
        <f t="shared" si="17"/>
        <v>108.68579012849503</v>
      </c>
      <c r="BO6" s="6">
        <f t="shared" si="18"/>
        <v>189.58048669267941</v>
      </c>
      <c r="BP6" s="47">
        <f t="shared" si="19"/>
        <v>1274.470695316593</v>
      </c>
      <c r="BQ6" s="6">
        <v>27.3</v>
      </c>
      <c r="BR6" s="6">
        <v>28.1</v>
      </c>
      <c r="BS6" s="6">
        <v>28.4</v>
      </c>
      <c r="BT6" s="6">
        <f t="shared" si="20"/>
        <v>27.933333333333337</v>
      </c>
      <c r="BU6" s="6">
        <f t="shared" si="21"/>
        <v>0.56862407030773199</v>
      </c>
      <c r="BV6" s="6">
        <v>82.2</v>
      </c>
      <c r="BW6" s="6" t="s">
        <v>749</v>
      </c>
      <c r="BX6" s="6">
        <f t="shared" si="22"/>
        <v>3.9014746353798486</v>
      </c>
      <c r="BY6" s="6">
        <f t="shared" si="23"/>
        <v>6.8053372876068128</v>
      </c>
      <c r="BZ6" s="47">
        <f t="shared" si="24"/>
        <v>45.749449725065531</v>
      </c>
      <c r="CA6" s="6">
        <v>32</v>
      </c>
      <c r="CB6" s="6">
        <v>33.200000000000003</v>
      </c>
      <c r="CC6" s="6">
        <v>32.799999999999997</v>
      </c>
      <c r="CD6" s="6">
        <f t="shared" si="25"/>
        <v>32.666666666666664</v>
      </c>
      <c r="CE6" s="6">
        <f t="shared" si="26"/>
        <v>0.61101009266077966</v>
      </c>
      <c r="CF6" s="6">
        <v>83.5</v>
      </c>
      <c r="CG6" s="6" t="s">
        <v>661</v>
      </c>
      <c r="CH6" s="6">
        <f t="shared" si="27"/>
        <v>0.1466741145000417</v>
      </c>
      <c r="CI6" s="6">
        <f t="shared" si="70"/>
        <v>0.25584347299919408</v>
      </c>
      <c r="CJ6" s="47">
        <f t="shared" si="28"/>
        <v>1.7199291689448213</v>
      </c>
      <c r="CK6" s="6">
        <v>22.8</v>
      </c>
      <c r="CL6" s="6">
        <v>23.3</v>
      </c>
      <c r="CM6" s="6">
        <v>24.8</v>
      </c>
      <c r="CN6" s="6">
        <f t="shared" si="29"/>
        <v>23.633333333333336</v>
      </c>
      <c r="CO6" s="6">
        <f t="shared" si="30"/>
        <v>1.0408329997330665</v>
      </c>
      <c r="CP6" s="6">
        <v>82.5</v>
      </c>
      <c r="CQ6" s="6" t="s">
        <v>661</v>
      </c>
      <c r="CR6" s="6">
        <f t="shared" si="31"/>
        <v>76.852459218476952</v>
      </c>
      <c r="CS6" s="6">
        <f t="shared" si="32"/>
        <v>134.05364772103999</v>
      </c>
      <c r="CT6" s="47">
        <f t="shared" si="33"/>
        <v>157.47901885616997</v>
      </c>
      <c r="CU6" s="6">
        <v>24</v>
      </c>
      <c r="CV6" s="6">
        <v>25.3</v>
      </c>
      <c r="CW6" s="6">
        <v>26.1</v>
      </c>
      <c r="CX6" s="6">
        <f t="shared" si="34"/>
        <v>25.133333333333336</v>
      </c>
      <c r="CY6" s="6">
        <f t="shared" si="35"/>
        <v>1.0598742063723103</v>
      </c>
      <c r="CZ6" s="6">
        <v>83.7</v>
      </c>
      <c r="DA6" s="6" t="s">
        <v>751</v>
      </c>
      <c r="DB6" s="6">
        <f t="shared" si="36"/>
        <v>27.171447532123754</v>
      </c>
      <c r="DC6" s="6">
        <f t="shared" si="37"/>
        <v>47.395121673169854</v>
      </c>
      <c r="DD6" s="47">
        <f t="shared" si="38"/>
        <v>55.677241063900837</v>
      </c>
      <c r="DE6" s="6">
        <v>20.2</v>
      </c>
      <c r="DF6" s="6">
        <v>20.5</v>
      </c>
      <c r="DG6" s="12">
        <v>21</v>
      </c>
      <c r="DH6" s="6">
        <f>AVERAGE(DE6:DF6)</f>
        <v>20.350000000000001</v>
      </c>
      <c r="DI6" s="6">
        <f t="shared" si="40"/>
        <v>0.40414518843273839</v>
      </c>
      <c r="DJ6" s="6">
        <v>81.400000000000006</v>
      </c>
      <c r="DK6" s="6" t="s">
        <v>671</v>
      </c>
      <c r="DL6" s="6">
        <f t="shared" si="41"/>
        <v>748.23770322489713</v>
      </c>
      <c r="DM6" s="6">
        <f t="shared" si="42"/>
        <v>2194.9920512743251</v>
      </c>
      <c r="DN6" s="46">
        <f t="shared" si="43"/>
        <v>2578.5586629547552</v>
      </c>
      <c r="DO6" s="6">
        <v>20.7</v>
      </c>
      <c r="DP6" s="6">
        <v>20.8</v>
      </c>
      <c r="DQ6" s="12">
        <v>21.5</v>
      </c>
      <c r="DR6" s="6">
        <f>AVERAGE(DO6:DP6)</f>
        <v>20.75</v>
      </c>
      <c r="DS6" s="6">
        <f t="shared" si="45"/>
        <v>0.43588989435406744</v>
      </c>
      <c r="DT6" s="6">
        <v>80.900000000000006</v>
      </c>
      <c r="DU6" s="6" t="s">
        <v>671</v>
      </c>
      <c r="DV6" s="6">
        <f t="shared" si="46"/>
        <v>567.05814123283471</v>
      </c>
      <c r="DW6" s="6">
        <f t="shared" si="47"/>
        <v>1663.4929077375709</v>
      </c>
      <c r="DX6" s="47">
        <f t="shared" si="48"/>
        <v>1954.1820415797156</v>
      </c>
      <c r="DY6" s="6">
        <v>21.6</v>
      </c>
      <c r="DZ6" s="6">
        <v>21.6</v>
      </c>
      <c r="EA6" s="12">
        <v>22</v>
      </c>
      <c r="EB6" s="6">
        <f>AVERAGE(DY6:DZ6)</f>
        <v>21.6</v>
      </c>
      <c r="EC6" s="6">
        <f t="shared" si="49"/>
        <v>0.23094010767584949</v>
      </c>
      <c r="ED6" s="6">
        <v>83.5</v>
      </c>
      <c r="EE6" s="6" t="s">
        <v>671</v>
      </c>
      <c r="EF6" s="6">
        <f t="shared" si="50"/>
        <v>314.59520119974474</v>
      </c>
      <c r="EG6" s="7">
        <f t="shared" si="51"/>
        <v>548.74801281858117</v>
      </c>
      <c r="EH6" s="47">
        <f t="shared" si="52"/>
        <v>644.63966573868868</v>
      </c>
      <c r="EI6" s="6">
        <v>22</v>
      </c>
      <c r="EJ6" s="6">
        <v>22</v>
      </c>
      <c r="EK6" s="6">
        <v>22</v>
      </c>
      <c r="EL6" s="6">
        <f t="shared" ref="EL6:EL25" si="75">AVERAGE(EI6:EK6)</f>
        <v>22</v>
      </c>
      <c r="EM6" s="6">
        <f t="shared" si="53"/>
        <v>0</v>
      </c>
      <c r="EN6" s="6">
        <v>84.5</v>
      </c>
      <c r="EP6" s="6">
        <f t="shared" si="54"/>
        <v>238.4185791015625</v>
      </c>
      <c r="EQ6" s="6">
        <f t="shared" si="55"/>
        <v>699.41261145825035</v>
      </c>
      <c r="ER6" s="47">
        <f t="shared" si="56"/>
        <v>821.63233675878359</v>
      </c>
      <c r="ES6" s="6">
        <v>20.6</v>
      </c>
      <c r="ET6" s="6">
        <v>20.6</v>
      </c>
      <c r="EU6" s="6">
        <v>20.7</v>
      </c>
      <c r="EV6" s="6">
        <f t="shared" ref="EV6:EV25" si="76">AVERAGE(ES6:EU6)</f>
        <v>20.633333333333336</v>
      </c>
      <c r="EW6" s="6">
        <f t="shared" si="57"/>
        <v>5.7735026918961339E-2</v>
      </c>
      <c r="EX6" s="6">
        <v>81.099999999999994</v>
      </c>
      <c r="EZ6" s="6">
        <f t="shared" si="58"/>
        <v>614.8196737478147</v>
      </c>
      <c r="FA6" s="6">
        <f t="shared" si="59"/>
        <v>1803.6037091249086</v>
      </c>
      <c r="FB6" s="47">
        <f t="shared" si="60"/>
        <v>2118.7766789412067</v>
      </c>
      <c r="FC6" s="6">
        <v>22.3</v>
      </c>
      <c r="FD6" s="6">
        <v>22.7</v>
      </c>
      <c r="FE6" s="6">
        <v>22.3</v>
      </c>
      <c r="FF6" s="6">
        <f t="shared" ref="FF6:FF25" si="77">AVERAGE(FC6:FE6)</f>
        <v>22.433333333333334</v>
      </c>
      <c r="FG6" s="6">
        <f t="shared" si="71"/>
        <v>0.23094010767584949</v>
      </c>
      <c r="FH6" s="6">
        <v>80.400000000000006</v>
      </c>
      <c r="FJ6" s="6">
        <f t="shared" si="72"/>
        <v>176.56058696348242</v>
      </c>
      <c r="FN6" s="6" t="e">
        <f t="shared" ref="FN6:FN25" si="78">AVERAGE(FK6:FM6)</f>
        <v>#DIV/0!</v>
      </c>
      <c r="FO6" s="6" t="e">
        <f t="shared" si="73"/>
        <v>#DIV/0!</v>
      </c>
      <c r="FP6"/>
      <c r="FQ6"/>
      <c r="FR6" s="6" t="e">
        <f t="shared" si="74"/>
        <v>#DIV/0!</v>
      </c>
      <c r="FS6" s="47" t="s">
        <v>831</v>
      </c>
    </row>
    <row r="7" spans="1:176" s="6" customFormat="1">
      <c r="A7" s="6" t="s">
        <v>553</v>
      </c>
      <c r="B7" s="6" t="s">
        <v>635</v>
      </c>
      <c r="C7" s="6">
        <v>6</v>
      </c>
      <c r="D7" s="6" t="s">
        <v>699</v>
      </c>
      <c r="E7" s="6">
        <v>29.6</v>
      </c>
      <c r="F7" s="6">
        <v>28.8</v>
      </c>
      <c r="G7" s="6">
        <v>29.5</v>
      </c>
      <c r="H7" s="6">
        <f t="shared" si="0"/>
        <v>29.3</v>
      </c>
      <c r="I7" s="6">
        <f t="shared" si="1"/>
        <v>0.43588989435406744</v>
      </c>
      <c r="J7" s="6">
        <v>81.5</v>
      </c>
      <c r="K7" s="6" t="s">
        <v>44</v>
      </c>
      <c r="L7" s="47">
        <f t="shared" si="2"/>
        <v>1.5129379860241632</v>
      </c>
      <c r="M7" s="59">
        <v>32.5</v>
      </c>
      <c r="N7" s="56">
        <v>31.5</v>
      </c>
      <c r="O7" s="56">
        <v>32.1</v>
      </c>
      <c r="P7" s="56">
        <f>AVERAGE(N7:O7)</f>
        <v>31.8</v>
      </c>
      <c r="Q7" s="56">
        <f t="shared" si="4"/>
        <v>0.50332229568471676</v>
      </c>
      <c r="R7" s="56">
        <v>81</v>
      </c>
      <c r="S7" s="56" t="s">
        <v>671</v>
      </c>
      <c r="T7" s="47">
        <f t="shared" si="5"/>
        <v>0.26745217735810062</v>
      </c>
      <c r="U7" s="6">
        <v>19.600000000000001</v>
      </c>
      <c r="V7" s="6">
        <v>19.600000000000001</v>
      </c>
      <c r="W7" s="6">
        <v>19.399999999999999</v>
      </c>
      <c r="X7" s="6">
        <f t="shared" si="61"/>
        <v>19.533333333333335</v>
      </c>
      <c r="Y7" s="6">
        <f t="shared" si="62"/>
        <v>0.1154700538379268</v>
      </c>
      <c r="Z7" s="6">
        <v>85.9</v>
      </c>
      <c r="AA7" s="6" t="s">
        <v>685</v>
      </c>
      <c r="AB7" s="6">
        <f t="shared" si="63"/>
        <v>1.3178948211362604E-6</v>
      </c>
      <c r="AC7" s="6" t="s">
        <v>86</v>
      </c>
      <c r="AD7" s="6" t="s">
        <v>86</v>
      </c>
      <c r="AE7" s="6" t="s">
        <v>86</v>
      </c>
      <c r="AF7" s="6" t="s">
        <v>86</v>
      </c>
      <c r="AG7" s="6" t="s">
        <v>86</v>
      </c>
      <c r="AH7" s="6" t="s">
        <v>715</v>
      </c>
      <c r="AK7" s="47">
        <v>1.6E-2</v>
      </c>
      <c r="AL7" s="47">
        <f>1-AK7</f>
        <v>0.98399999999999999</v>
      </c>
      <c r="AM7" s="6">
        <v>26.2</v>
      </c>
      <c r="AN7" s="6">
        <v>26.2</v>
      </c>
      <c r="AO7" s="6">
        <v>25.7</v>
      </c>
      <c r="AP7" s="6">
        <f t="shared" si="6"/>
        <v>26.033333333333331</v>
      </c>
      <c r="AQ7" s="6">
        <f t="shared" si="7"/>
        <v>0.28867513459481292</v>
      </c>
      <c r="AR7" s="6">
        <v>84.3</v>
      </c>
      <c r="AS7" s="6" t="s">
        <v>669</v>
      </c>
      <c r="AT7" s="6">
        <f t="shared" si="8"/>
        <v>14.560818201813836</v>
      </c>
      <c r="AU7" s="6">
        <f t="shared" si="9"/>
        <v>9.6242002886569633</v>
      </c>
      <c r="AV7" s="47">
        <f t="shared" si="10"/>
        <v>601.51251804106016</v>
      </c>
      <c r="AW7" s="6">
        <v>22.6</v>
      </c>
      <c r="AX7" s="6">
        <v>22.4</v>
      </c>
      <c r="AY7" s="6">
        <v>22.4</v>
      </c>
      <c r="AZ7" s="6">
        <f t="shared" si="69"/>
        <v>22.466666666666669</v>
      </c>
      <c r="BA7" s="6">
        <f t="shared" si="11"/>
        <v>0.1154700538379268</v>
      </c>
      <c r="BB7" s="6">
        <v>88.3</v>
      </c>
      <c r="BC7" s="6" t="s">
        <v>687</v>
      </c>
      <c r="BD7" s="6">
        <f t="shared" si="12"/>
        <v>172.52793758396817</v>
      </c>
      <c r="BE7" s="6">
        <f t="shared" si="13"/>
        <v>114.03503592196324</v>
      </c>
      <c r="BF7" s="47">
        <f t="shared" si="14"/>
        <v>7127.1897451227023</v>
      </c>
      <c r="BG7" s="6">
        <v>23.3</v>
      </c>
      <c r="BH7" s="6">
        <v>22.8</v>
      </c>
      <c r="BI7" s="6">
        <v>23.3</v>
      </c>
      <c r="BJ7" s="6">
        <f t="shared" si="15"/>
        <v>23.133333333333336</v>
      </c>
      <c r="BK7" s="6">
        <f t="shared" si="16"/>
        <v>0.28867513459481287</v>
      </c>
      <c r="BL7" s="6">
        <v>83.7</v>
      </c>
      <c r="BM7" s="6" t="s">
        <v>743</v>
      </c>
      <c r="BN7" s="6">
        <f t="shared" si="17"/>
        <v>108.68579012849503</v>
      </c>
      <c r="BO7" s="6">
        <f t="shared" si="18"/>
        <v>71.83757109179966</v>
      </c>
      <c r="BP7" s="47">
        <f t="shared" si="19"/>
        <v>4489.8481932374789</v>
      </c>
      <c r="BQ7" s="6">
        <v>28.4</v>
      </c>
      <c r="BR7" s="6">
        <v>28</v>
      </c>
      <c r="BS7" s="6">
        <v>27.8</v>
      </c>
      <c r="BT7" s="6">
        <f t="shared" si="20"/>
        <v>28.066666666666666</v>
      </c>
      <c r="BU7" s="6">
        <f t="shared" si="21"/>
        <v>0.30550504633038827</v>
      </c>
      <c r="BV7" s="6">
        <v>82.2</v>
      </c>
      <c r="BW7" s="6" t="s">
        <v>749</v>
      </c>
      <c r="BX7" s="6">
        <f t="shared" si="22"/>
        <v>3.5570621636152944</v>
      </c>
      <c r="BY7" s="6">
        <f t="shared" si="23"/>
        <v>2.3510958125672206</v>
      </c>
      <c r="BZ7" s="47">
        <f t="shared" si="24"/>
        <v>146.94348828545128</v>
      </c>
      <c r="CA7" s="6">
        <v>31.9</v>
      </c>
      <c r="CB7" s="6">
        <v>31.5</v>
      </c>
      <c r="CC7" s="6">
        <v>31.1</v>
      </c>
      <c r="CD7" s="6">
        <f t="shared" si="25"/>
        <v>31.5</v>
      </c>
      <c r="CE7" s="6">
        <f t="shared" si="26"/>
        <v>0.39999999999999858</v>
      </c>
      <c r="CF7" s="6">
        <v>83.5</v>
      </c>
      <c r="CG7" s="6" t="s">
        <v>685</v>
      </c>
      <c r="CH7" s="6">
        <f t="shared" si="27"/>
        <v>0.32927225399136018</v>
      </c>
      <c r="CI7" s="6">
        <f t="shared" si="70"/>
        <v>0.21763764082403134</v>
      </c>
      <c r="CJ7" s="47">
        <f t="shared" si="28"/>
        <v>13.602352551501959</v>
      </c>
      <c r="CK7" s="6">
        <v>23.6</v>
      </c>
      <c r="CL7" s="6">
        <v>22.8</v>
      </c>
      <c r="CM7" s="6">
        <v>22.7</v>
      </c>
      <c r="CN7" s="6">
        <f t="shared" si="29"/>
        <v>23.033333333333335</v>
      </c>
      <c r="CO7" s="6">
        <f t="shared" si="30"/>
        <v>0.49328828623162563</v>
      </c>
      <c r="CP7" s="6">
        <v>82.3</v>
      </c>
      <c r="CR7" s="6">
        <f t="shared" si="31"/>
        <v>116.48654561451032</v>
      </c>
      <c r="CS7" s="6">
        <f t="shared" si="32"/>
        <v>76.993602309255465</v>
      </c>
      <c r="CT7" s="47">
        <f t="shared" si="33"/>
        <v>78.245530802088894</v>
      </c>
      <c r="CU7" s="6">
        <v>25</v>
      </c>
      <c r="CV7" s="6">
        <v>24.1</v>
      </c>
      <c r="CW7" s="6">
        <v>24.2</v>
      </c>
      <c r="CX7" s="6">
        <f t="shared" si="34"/>
        <v>24.433333333333334</v>
      </c>
      <c r="CY7" s="6">
        <f t="shared" si="35"/>
        <v>0.49328828623162446</v>
      </c>
      <c r="CZ7" s="6">
        <v>83.5</v>
      </c>
      <c r="DB7" s="6">
        <f t="shared" si="36"/>
        <v>44.140146740870598</v>
      </c>
      <c r="DC7" s="6">
        <f t="shared" si="37"/>
        <v>29.175119633862927</v>
      </c>
      <c r="DD7" s="47">
        <f t="shared" si="38"/>
        <v>29.649511823031432</v>
      </c>
      <c r="DE7" s="12">
        <v>23.4</v>
      </c>
      <c r="DF7" s="6">
        <v>22.5</v>
      </c>
      <c r="DG7" s="6">
        <v>22.7</v>
      </c>
      <c r="DH7" s="6">
        <f>AVERAGE(DF7:DG7)</f>
        <v>22.6</v>
      </c>
      <c r="DI7" s="6">
        <f t="shared" si="40"/>
        <v>0.47258156262526019</v>
      </c>
      <c r="DJ7" s="6">
        <v>81.599999999999994</v>
      </c>
      <c r="DK7" s="6" t="s">
        <v>671</v>
      </c>
      <c r="DL7" s="6">
        <f t="shared" si="41"/>
        <v>157.29760059987234</v>
      </c>
      <c r="DM7" s="6">
        <f t="shared" si="42"/>
        <v>588.13355775848231</v>
      </c>
      <c r="DN7" s="46">
        <f t="shared" si="43"/>
        <v>597.696705039108</v>
      </c>
      <c r="DO7" s="12">
        <v>22.2</v>
      </c>
      <c r="DP7" s="6">
        <v>21.5</v>
      </c>
      <c r="DQ7" s="6">
        <v>21.2</v>
      </c>
      <c r="DR7" s="6">
        <f>AVERAGE(DP7:DQ7)</f>
        <v>21.35</v>
      </c>
      <c r="DS7" s="6">
        <f t="shared" si="45"/>
        <v>0.51316014394468834</v>
      </c>
      <c r="DT7" s="6">
        <v>81.3</v>
      </c>
      <c r="DU7" s="6" t="s">
        <v>671</v>
      </c>
      <c r="DV7" s="6">
        <f t="shared" si="46"/>
        <v>374.11885161244919</v>
      </c>
      <c r="DW7" s="6">
        <f t="shared" si="47"/>
        <v>1398.825222916503</v>
      </c>
      <c r="DX7" s="47">
        <f t="shared" si="48"/>
        <v>1421.5703484923811</v>
      </c>
      <c r="DY7" s="6">
        <v>22.7</v>
      </c>
      <c r="DZ7" s="6">
        <v>22.4</v>
      </c>
      <c r="EA7" s="6">
        <v>22.2</v>
      </c>
      <c r="EB7" s="6">
        <f t="shared" ref="EB7:EB25" si="79">AVERAGE(DY7:EA7)</f>
        <v>22.433333333333334</v>
      </c>
      <c r="EC7" s="6">
        <f t="shared" si="49"/>
        <v>0.25166114784235838</v>
      </c>
      <c r="ED7" s="6">
        <v>83.6</v>
      </c>
      <c r="EF7" s="6">
        <f t="shared" si="50"/>
        <v>176.56058696348242</v>
      </c>
      <c r="EG7" s="7">
        <f t="shared" si="51"/>
        <v>116.70047853545172</v>
      </c>
      <c r="EH7" s="47">
        <f t="shared" si="52"/>
        <v>118.59804729212574</v>
      </c>
      <c r="EI7" s="6">
        <v>21</v>
      </c>
      <c r="EJ7" s="6">
        <v>20.8</v>
      </c>
      <c r="EK7" s="6">
        <v>20.6</v>
      </c>
      <c r="EL7" s="6">
        <f t="shared" si="75"/>
        <v>20.8</v>
      </c>
      <c r="EM7" s="6">
        <f t="shared" si="53"/>
        <v>0.19999999999999929</v>
      </c>
      <c r="EN7" s="6">
        <v>84.5</v>
      </c>
      <c r="EP7" s="6">
        <f t="shared" si="54"/>
        <v>547.74205922939052</v>
      </c>
      <c r="EQ7" s="6">
        <f t="shared" si="55"/>
        <v>2048.0000000000018</v>
      </c>
      <c r="ER7" s="47">
        <f t="shared" si="56"/>
        <v>2081.3008130081321</v>
      </c>
      <c r="ES7" s="6">
        <v>21.2</v>
      </c>
      <c r="ET7" s="6">
        <v>21.1</v>
      </c>
      <c r="EU7" s="6">
        <v>20.8</v>
      </c>
      <c r="EV7" s="6">
        <f t="shared" si="76"/>
        <v>21.033333333333331</v>
      </c>
      <c r="EW7" s="6">
        <f t="shared" si="57"/>
        <v>0.20816659994661282</v>
      </c>
      <c r="EX7" s="6">
        <v>81.400000000000006</v>
      </c>
      <c r="EZ7" s="6">
        <f t="shared" si="58"/>
        <v>465.94618245804213</v>
      </c>
      <c r="FA7" s="6">
        <f t="shared" si="59"/>
        <v>1742.1663456273579</v>
      </c>
      <c r="FB7" s="47">
        <f t="shared" si="60"/>
        <v>1770.4942536863393</v>
      </c>
      <c r="FC7" s="6">
        <v>23</v>
      </c>
      <c r="FD7" s="6">
        <v>23.7</v>
      </c>
      <c r="FE7" s="6">
        <v>23.5</v>
      </c>
      <c r="FF7" s="6">
        <f t="shared" si="77"/>
        <v>23.400000000000002</v>
      </c>
      <c r="FG7" s="6">
        <f t="shared" si="71"/>
        <v>0.36055512754639862</v>
      </c>
      <c r="FH7" s="6">
        <v>80.400000000000006</v>
      </c>
      <c r="FJ7" s="6">
        <f t="shared" si="72"/>
        <v>90.343747527026977</v>
      </c>
      <c r="FN7" s="6" t="e">
        <f t="shared" si="78"/>
        <v>#DIV/0!</v>
      </c>
      <c r="FO7" s="6" t="e">
        <f t="shared" si="73"/>
        <v>#DIV/0!</v>
      </c>
      <c r="FP7"/>
      <c r="FQ7"/>
      <c r="FR7" s="6" t="e">
        <f t="shared" si="74"/>
        <v>#DIV/0!</v>
      </c>
      <c r="FS7" s="47" t="s">
        <v>831</v>
      </c>
    </row>
    <row r="8" spans="1:176" s="6" customFormat="1">
      <c r="A8" s="6" t="s">
        <v>554</v>
      </c>
      <c r="B8" s="6" t="s">
        <v>635</v>
      </c>
      <c r="C8" s="6">
        <v>6</v>
      </c>
      <c r="D8" s="6" t="s">
        <v>700</v>
      </c>
      <c r="E8" s="6">
        <v>29.6</v>
      </c>
      <c r="F8" s="6">
        <v>29.3</v>
      </c>
      <c r="G8" s="6">
        <v>30</v>
      </c>
      <c r="H8" s="6">
        <f t="shared" si="0"/>
        <v>29.633333333333336</v>
      </c>
      <c r="I8" s="6">
        <f t="shared" si="1"/>
        <v>0.35118845842842422</v>
      </c>
      <c r="J8" s="6">
        <v>81.5</v>
      </c>
      <c r="K8" s="6" t="s">
        <v>44</v>
      </c>
      <c r="L8" s="47">
        <f t="shared" si="2"/>
        <v>1.2008196752887019</v>
      </c>
      <c r="M8" s="56">
        <v>30.9</v>
      </c>
      <c r="N8" s="56">
        <v>31.3</v>
      </c>
      <c r="O8" s="56">
        <v>31.8</v>
      </c>
      <c r="P8" s="56">
        <f>AVERAGE(M8:O8)</f>
        <v>31.333333333333332</v>
      </c>
      <c r="Q8" s="56">
        <f t="shared" si="4"/>
        <v>0.45092497528229047</v>
      </c>
      <c r="R8" s="56">
        <v>81.099999999999994</v>
      </c>
      <c r="S8" s="56"/>
      <c r="T8" s="47">
        <f t="shared" si="5"/>
        <v>0.36959560866658631</v>
      </c>
      <c r="U8" s="6">
        <v>20.2</v>
      </c>
      <c r="V8" s="6">
        <v>20.3</v>
      </c>
      <c r="W8" s="6">
        <v>20.399999999999999</v>
      </c>
      <c r="X8" s="6">
        <f t="shared" si="61"/>
        <v>20.3</v>
      </c>
      <c r="Y8" s="6">
        <f t="shared" si="62"/>
        <v>9.9999999999999645E-2</v>
      </c>
      <c r="Z8" s="6">
        <v>86.1</v>
      </c>
      <c r="AA8" s="6" t="s">
        <v>685</v>
      </c>
      <c r="AB8" s="6">
        <f t="shared" si="63"/>
        <v>7.7462424884437066E-7</v>
      </c>
      <c r="AC8" s="6">
        <v>16.399999999999999</v>
      </c>
      <c r="AD8" s="6" t="s">
        <v>86</v>
      </c>
      <c r="AE8" s="6">
        <v>17</v>
      </c>
      <c r="AF8" s="6">
        <f t="shared" si="64"/>
        <v>16.7</v>
      </c>
      <c r="AG8" s="6">
        <f t="shared" si="65"/>
        <v>0.42426406871192951</v>
      </c>
      <c r="AH8" s="6">
        <v>83.2</v>
      </c>
      <c r="AI8" s="6" t="s">
        <v>685</v>
      </c>
      <c r="AJ8" s="6">
        <f t="shared" si="66"/>
        <v>9.3928864543527042E-6</v>
      </c>
      <c r="AK8" s="47">
        <f t="shared" si="67"/>
        <v>7.6186224087356771E-2</v>
      </c>
      <c r="AL8" s="47">
        <f t="shared" si="68"/>
        <v>0.92381377591264335</v>
      </c>
      <c r="AM8" s="6">
        <v>26.9</v>
      </c>
      <c r="AN8" s="6">
        <v>27</v>
      </c>
      <c r="AO8" s="6">
        <v>26.8</v>
      </c>
      <c r="AP8" s="6">
        <f t="shared" si="6"/>
        <v>26.900000000000002</v>
      </c>
      <c r="AQ8" s="6">
        <f t="shared" si="7"/>
        <v>9.9999999999999645E-2</v>
      </c>
      <c r="AR8" s="6">
        <v>84.3</v>
      </c>
      <c r="AS8" s="6" t="s">
        <v>669</v>
      </c>
      <c r="AT8" s="6">
        <f t="shared" si="8"/>
        <v>7.9853345642707749</v>
      </c>
      <c r="AU8" s="6">
        <f t="shared" si="9"/>
        <v>6.6499031691423074</v>
      </c>
      <c r="AV8" s="47">
        <f t="shared" si="10"/>
        <v>87.284850362414403</v>
      </c>
      <c r="AW8" s="6">
        <v>23.4</v>
      </c>
      <c r="AX8" s="6">
        <v>23.7</v>
      </c>
      <c r="AY8" s="6">
        <v>23.8</v>
      </c>
      <c r="AZ8" s="6">
        <f t="shared" si="69"/>
        <v>23.633333333333329</v>
      </c>
      <c r="BA8" s="6">
        <f t="shared" si="11"/>
        <v>0.20816659994661424</v>
      </c>
      <c r="BB8" s="6">
        <v>88.3</v>
      </c>
      <c r="BC8" s="6" t="s">
        <v>686</v>
      </c>
      <c r="BD8" s="6">
        <f t="shared" si="12"/>
        <v>76.852459218477236</v>
      </c>
      <c r="BE8" s="6">
        <f t="shared" si="13"/>
        <v>64.000000000000256</v>
      </c>
      <c r="BF8" s="47">
        <f t="shared" si="14"/>
        <v>840.04688205332855</v>
      </c>
      <c r="BG8" s="6">
        <v>23.7</v>
      </c>
      <c r="BH8" s="6">
        <v>24</v>
      </c>
      <c r="BI8" s="6">
        <v>23.9</v>
      </c>
      <c r="BJ8" s="6">
        <f t="shared" si="15"/>
        <v>23.866666666666664</v>
      </c>
      <c r="BK8" s="6">
        <f t="shared" si="16"/>
        <v>0.15275252316519489</v>
      </c>
      <c r="BL8" s="6">
        <v>83.7</v>
      </c>
      <c r="BM8" s="6" t="s">
        <v>743</v>
      </c>
      <c r="BN8" s="6">
        <f t="shared" si="17"/>
        <v>65.375863295473465</v>
      </c>
      <c r="BO8" s="6">
        <f t="shared" si="18"/>
        <v>54.442698300855</v>
      </c>
      <c r="BP8" s="47">
        <f t="shared" si="19"/>
        <v>714.6002962219236</v>
      </c>
      <c r="BQ8" s="6">
        <v>28.3</v>
      </c>
      <c r="BR8" s="6">
        <v>28.6</v>
      </c>
      <c r="BS8" s="6">
        <v>28.3</v>
      </c>
      <c r="BT8" s="6">
        <f t="shared" si="20"/>
        <v>28.400000000000002</v>
      </c>
      <c r="BU8" s="6">
        <f t="shared" si="21"/>
        <v>0.17320508075688815</v>
      </c>
      <c r="BV8" s="6">
        <v>82.2</v>
      </c>
      <c r="BW8" s="6" t="s">
        <v>750</v>
      </c>
      <c r="BX8" s="6">
        <f t="shared" si="22"/>
        <v>2.8232421102195873</v>
      </c>
      <c r="BY8" s="6">
        <f t="shared" si="23"/>
        <v>2.351095812567213</v>
      </c>
      <c r="BZ8" s="47">
        <f t="shared" si="24"/>
        <v>30.859854793058069</v>
      </c>
      <c r="CA8" s="6">
        <v>31.7</v>
      </c>
      <c r="CB8" s="6">
        <v>32.200000000000003</v>
      </c>
      <c r="CC8" s="6">
        <v>32.299999999999997</v>
      </c>
      <c r="CD8" s="6">
        <f t="shared" si="25"/>
        <v>32.06666666666667</v>
      </c>
      <c r="CE8" s="6">
        <f t="shared" si="26"/>
        <v>0.32145502536643178</v>
      </c>
      <c r="CF8" s="6">
        <v>83.5</v>
      </c>
      <c r="CG8" s="6" t="s">
        <v>685</v>
      </c>
      <c r="CH8" s="6">
        <f t="shared" si="27"/>
        <v>0.22231638522595504</v>
      </c>
      <c r="CI8" s="6">
        <f t="shared" si="70"/>
        <v>0.18513719403582021</v>
      </c>
      <c r="CJ8" s="47">
        <f t="shared" si="28"/>
        <v>2.4300612906545664</v>
      </c>
      <c r="CK8" s="6">
        <v>22.6</v>
      </c>
      <c r="CL8" s="6">
        <v>23</v>
      </c>
      <c r="CM8" s="6">
        <v>23.1</v>
      </c>
      <c r="CN8" s="6">
        <f t="shared" si="29"/>
        <v>22.900000000000002</v>
      </c>
      <c r="CO8" s="6">
        <f t="shared" si="30"/>
        <v>0.26457513110645881</v>
      </c>
      <c r="CP8" s="6">
        <v>82.4</v>
      </c>
      <c r="CR8" s="6">
        <f t="shared" si="31"/>
        <v>127.76535302833224</v>
      </c>
      <c r="CS8" s="6">
        <f t="shared" si="32"/>
        <v>106.39845070627678</v>
      </c>
      <c r="CT8" s="47">
        <f t="shared" si="33"/>
        <v>115.17305054383375</v>
      </c>
      <c r="CU8" s="6">
        <v>24.7</v>
      </c>
      <c r="CV8" s="6">
        <v>25.1</v>
      </c>
      <c r="CW8" s="6">
        <v>24.9</v>
      </c>
      <c r="CX8" s="6">
        <f t="shared" si="34"/>
        <v>24.899999999999995</v>
      </c>
      <c r="CY8" s="6">
        <f t="shared" si="35"/>
        <v>0.20000000000000107</v>
      </c>
      <c r="CZ8" s="6">
        <v>83.5</v>
      </c>
      <c r="DB8" s="6">
        <f t="shared" si="36"/>
        <v>31.941338257083224</v>
      </c>
      <c r="DC8" s="6">
        <f t="shared" si="37"/>
        <v>26.599612676569333</v>
      </c>
      <c r="DD8" s="47">
        <f t="shared" si="38"/>
        <v>28.793262635958587</v>
      </c>
      <c r="DE8" s="6">
        <v>20.7</v>
      </c>
      <c r="DF8" s="6">
        <v>20.7</v>
      </c>
      <c r="DG8" s="6">
        <v>20.7</v>
      </c>
      <c r="DH8" s="6">
        <f t="shared" si="39"/>
        <v>20.7</v>
      </c>
      <c r="DI8" s="6">
        <f t="shared" si="40"/>
        <v>0</v>
      </c>
      <c r="DJ8" s="6">
        <v>81.8</v>
      </c>
      <c r="DL8" s="6">
        <f t="shared" si="41"/>
        <v>587.05540339704396</v>
      </c>
      <c r="DM8" s="6">
        <f t="shared" si="42"/>
        <v>1588.3722361177429</v>
      </c>
      <c r="DN8" s="46">
        <f t="shared" si="43"/>
        <v>1719.3640942933296</v>
      </c>
      <c r="DO8" s="6">
        <v>20.8</v>
      </c>
      <c r="DP8" s="6">
        <v>20.9</v>
      </c>
      <c r="DQ8" s="6">
        <v>20.9</v>
      </c>
      <c r="DR8" s="6">
        <f t="shared" si="44"/>
        <v>20.866666666666667</v>
      </c>
      <c r="DS8" s="6">
        <f t="shared" si="45"/>
        <v>5.7735026918961346E-2</v>
      </c>
      <c r="DT8" s="6">
        <v>81.3</v>
      </c>
      <c r="DV8" s="6">
        <f t="shared" si="46"/>
        <v>523.00690636378602</v>
      </c>
      <c r="DW8" s="6">
        <f t="shared" si="47"/>
        <v>1415.0787890870008</v>
      </c>
      <c r="DX8" s="47">
        <f t="shared" si="48"/>
        <v>1531.7792676224519</v>
      </c>
      <c r="DY8" s="6">
        <v>21.5</v>
      </c>
      <c r="DZ8" s="6">
        <v>21.5</v>
      </c>
      <c r="EA8" s="6">
        <v>21.5</v>
      </c>
      <c r="EB8" s="6">
        <f t="shared" si="79"/>
        <v>21.5</v>
      </c>
      <c r="EC8" s="6">
        <f t="shared" si="49"/>
        <v>0</v>
      </c>
      <c r="ED8" s="6">
        <v>84</v>
      </c>
      <c r="EF8" s="6">
        <f t="shared" si="50"/>
        <v>337.17478808715248</v>
      </c>
      <c r="EG8" s="7">
        <f t="shared" si="51"/>
        <v>280.78719480182457</v>
      </c>
      <c r="EH8" s="47">
        <f t="shared" si="52"/>
        <v>303.94350260087054</v>
      </c>
      <c r="EI8" s="6">
        <v>21</v>
      </c>
      <c r="EJ8" s="6">
        <v>20.9</v>
      </c>
      <c r="EK8" s="6">
        <v>20.8</v>
      </c>
      <c r="EL8" s="6">
        <f t="shared" si="75"/>
        <v>20.900000000000002</v>
      </c>
      <c r="EM8" s="6">
        <f t="shared" si="53"/>
        <v>9.9999999999999645E-2</v>
      </c>
      <c r="EN8" s="6">
        <v>84.9</v>
      </c>
      <c r="EP8" s="6">
        <f t="shared" si="54"/>
        <v>511.06141211332903</v>
      </c>
      <c r="EQ8" s="6">
        <f t="shared" si="55"/>
        <v>1382.7583448762227</v>
      </c>
      <c r="ER8" s="47">
        <f t="shared" si="56"/>
        <v>1496.7933807981854</v>
      </c>
      <c r="ES8" s="6">
        <v>20.7</v>
      </c>
      <c r="ET8" s="6">
        <v>20.7</v>
      </c>
      <c r="EU8" s="6">
        <v>20.7</v>
      </c>
      <c r="EV8" s="6">
        <f t="shared" si="76"/>
        <v>20.7</v>
      </c>
      <c r="EW8" s="6">
        <f t="shared" si="57"/>
        <v>0</v>
      </c>
      <c r="EX8" s="6">
        <v>81.599999999999994</v>
      </c>
      <c r="EZ8" s="6">
        <f t="shared" si="58"/>
        <v>587.05540339704396</v>
      </c>
      <c r="FA8" s="6">
        <f t="shared" si="59"/>
        <v>1588.3722361177429</v>
      </c>
      <c r="FB8" s="47">
        <f t="shared" si="60"/>
        <v>1719.3640942933296</v>
      </c>
      <c r="FC8" s="6">
        <v>30.9</v>
      </c>
      <c r="FD8" s="6">
        <v>30</v>
      </c>
      <c r="FE8" s="6">
        <v>30.5</v>
      </c>
      <c r="FF8" s="6">
        <f t="shared" si="77"/>
        <v>30.466666666666669</v>
      </c>
      <c r="FG8" s="6">
        <f t="shared" si="71"/>
        <v>0.45092497528228875</v>
      </c>
      <c r="FH8" s="6">
        <v>80.400000000000006</v>
      </c>
      <c r="FI8" s="55" t="s">
        <v>822</v>
      </c>
      <c r="FJ8" s="12">
        <f t="shared" si="72"/>
        <v>0.67393725618737521</v>
      </c>
      <c r="FN8" s="6" t="e">
        <f t="shared" si="78"/>
        <v>#DIV/0!</v>
      </c>
      <c r="FO8" s="6" t="e">
        <f t="shared" si="73"/>
        <v>#DIV/0!</v>
      </c>
      <c r="FP8"/>
      <c r="FQ8"/>
      <c r="FR8" s="6" t="e">
        <f t="shared" si="74"/>
        <v>#DIV/0!</v>
      </c>
      <c r="FS8" s="47" t="s">
        <v>831</v>
      </c>
    </row>
    <row r="9" spans="1:176" s="7" customFormat="1">
      <c r="A9" s="7" t="s">
        <v>607</v>
      </c>
      <c r="B9" s="7" t="s">
        <v>634</v>
      </c>
      <c r="C9" s="7">
        <v>12</v>
      </c>
      <c r="D9" s="7" t="s">
        <v>701</v>
      </c>
      <c r="E9" s="7">
        <v>29.4</v>
      </c>
      <c r="F9" s="7">
        <v>28.9</v>
      </c>
      <c r="G9" s="7">
        <v>28.8</v>
      </c>
      <c r="H9" s="7">
        <f t="shared" si="0"/>
        <v>29.033333333333331</v>
      </c>
      <c r="I9" s="7">
        <f t="shared" si="1"/>
        <v>0.32145502536643106</v>
      </c>
      <c r="J9" s="7">
        <v>81.5</v>
      </c>
      <c r="K9" s="7" t="s">
        <v>44</v>
      </c>
      <c r="L9" s="46">
        <f t="shared" si="2"/>
        <v>1.8201022752267255</v>
      </c>
      <c r="M9" s="57">
        <v>31.5</v>
      </c>
      <c r="N9" s="32">
        <v>30.5</v>
      </c>
      <c r="O9" s="32">
        <v>30.7</v>
      </c>
      <c r="P9" s="32">
        <f>AVERAGE(N9:O9)</f>
        <v>30.6</v>
      </c>
      <c r="Q9" s="32">
        <f t="shared" si="4"/>
        <v>0.52915026221291828</v>
      </c>
      <c r="R9" s="32">
        <v>81.099999999999994</v>
      </c>
      <c r="S9" s="32" t="s">
        <v>671</v>
      </c>
      <c r="T9" s="46">
        <f t="shared" si="5"/>
        <v>0.61444375234325099</v>
      </c>
      <c r="U9" s="7">
        <v>18.899999999999999</v>
      </c>
      <c r="V9" s="7">
        <v>19.3</v>
      </c>
      <c r="W9" s="7">
        <v>19.399999999999999</v>
      </c>
      <c r="X9" s="7">
        <f t="shared" si="61"/>
        <v>19.2</v>
      </c>
      <c r="Y9" s="7">
        <f t="shared" si="62"/>
        <v>0.26457513110645947</v>
      </c>
      <c r="Z9" s="7">
        <v>85.6</v>
      </c>
      <c r="AA9" s="7" t="s">
        <v>685</v>
      </c>
      <c r="AB9" s="7">
        <f t="shared" si="63"/>
        <v>1.6604434266970143E-6</v>
      </c>
      <c r="AC9" s="7">
        <v>16.2</v>
      </c>
      <c r="AD9" s="7">
        <v>16.399999999999999</v>
      </c>
      <c r="AE9" s="7">
        <v>16.100000000000001</v>
      </c>
      <c r="AF9" s="7">
        <f t="shared" si="64"/>
        <v>16.233333333333331</v>
      </c>
      <c r="AG9" s="7">
        <f>STDEV(AC9:AD9)</f>
        <v>0.141421356237309</v>
      </c>
      <c r="AH9" s="7">
        <v>82.9</v>
      </c>
      <c r="AI9" s="7" t="s">
        <v>685</v>
      </c>
      <c r="AJ9" s="7">
        <f>1/(2^AE9)</f>
        <v>1.4236953606213484E-5</v>
      </c>
      <c r="AK9" s="46">
        <f t="shared" si="67"/>
        <v>0.1044475031515911</v>
      </c>
      <c r="AL9" s="46">
        <f t="shared" si="68"/>
        <v>0.89555249684840876</v>
      </c>
      <c r="AM9" s="7">
        <v>24.6</v>
      </c>
      <c r="AN9" s="7">
        <v>25</v>
      </c>
      <c r="AO9" s="7">
        <v>24.3</v>
      </c>
      <c r="AP9" s="7">
        <f t="shared" si="6"/>
        <v>24.633333333333336</v>
      </c>
      <c r="AQ9" s="7">
        <f t="shared" si="7"/>
        <v>0.35118845842842422</v>
      </c>
      <c r="AR9" s="7">
        <v>84.4</v>
      </c>
      <c r="AS9" s="7" t="s">
        <v>669</v>
      </c>
      <c r="AT9" s="7">
        <f t="shared" si="8"/>
        <v>38.426229609238405</v>
      </c>
      <c r="AU9" s="7">
        <f t="shared" si="9"/>
        <v>21.11212657236624</v>
      </c>
      <c r="AV9" s="46">
        <f t="shared" si="10"/>
        <v>202.1314625561217</v>
      </c>
      <c r="AW9" s="7">
        <v>21.4</v>
      </c>
      <c r="AX9" s="7">
        <v>21.7</v>
      </c>
      <c r="AY9" s="7">
        <v>21.1</v>
      </c>
      <c r="AZ9" s="7">
        <f t="shared" si="69"/>
        <v>21.399999999999995</v>
      </c>
      <c r="BA9" s="7">
        <f t="shared" si="11"/>
        <v>0.29999999999999893</v>
      </c>
      <c r="BB9" s="7">
        <v>88.4</v>
      </c>
      <c r="BC9" s="7" t="s">
        <v>685</v>
      </c>
      <c r="BD9" s="7">
        <f t="shared" si="12"/>
        <v>361.37499010810933</v>
      </c>
      <c r="BE9" s="7">
        <f t="shared" si="13"/>
        <v>198.54652951471849</v>
      </c>
      <c r="BF9" s="46">
        <f t="shared" si="14"/>
        <v>1900.9217408151508</v>
      </c>
      <c r="BG9" s="7">
        <v>21.3</v>
      </c>
      <c r="BH9" s="7">
        <v>21.8</v>
      </c>
      <c r="BI9" s="7">
        <v>21.4</v>
      </c>
      <c r="BJ9" s="7">
        <f t="shared" si="15"/>
        <v>21.5</v>
      </c>
      <c r="BK9" s="7">
        <f t="shared" si="16"/>
        <v>0.26457513110645947</v>
      </c>
      <c r="BL9" s="7">
        <v>83.7</v>
      </c>
      <c r="BM9" s="7" t="s">
        <v>743</v>
      </c>
      <c r="BN9" s="7">
        <f t="shared" si="17"/>
        <v>337.17478808715248</v>
      </c>
      <c r="BO9" s="7">
        <f t="shared" si="18"/>
        <v>185.25046239236829</v>
      </c>
      <c r="BP9" s="46">
        <f t="shared" si="19"/>
        <v>1773.6226985101107</v>
      </c>
      <c r="BQ9" s="7">
        <v>26.5</v>
      </c>
      <c r="BR9" s="7">
        <v>26.9</v>
      </c>
      <c r="BS9" s="7">
        <v>26.4</v>
      </c>
      <c r="BT9" s="7">
        <f t="shared" si="20"/>
        <v>26.599999999999998</v>
      </c>
      <c r="BU9" s="7">
        <f t="shared" si="21"/>
        <v>0.26457513110645881</v>
      </c>
      <c r="BV9" s="7">
        <v>82.1</v>
      </c>
      <c r="BW9" s="7" t="s">
        <v>750</v>
      </c>
      <c r="BX9" s="7">
        <f t="shared" si="22"/>
        <v>9.8311000374920532</v>
      </c>
      <c r="BY9" s="7">
        <f t="shared" si="23"/>
        <v>5.4013997846727699</v>
      </c>
      <c r="BZ9" s="46">
        <f t="shared" si="24"/>
        <v>51.714015382764927</v>
      </c>
      <c r="CA9" s="7">
        <v>30.2</v>
      </c>
      <c r="CB9" s="7">
        <v>30.2</v>
      </c>
      <c r="CC9" s="7">
        <v>30.2</v>
      </c>
      <c r="CD9" s="7">
        <f t="shared" si="25"/>
        <v>30.2</v>
      </c>
      <c r="CE9" s="7">
        <f t="shared" si="26"/>
        <v>0</v>
      </c>
      <c r="CF9" s="7">
        <v>83.5</v>
      </c>
      <c r="CG9" s="7" t="s">
        <v>685</v>
      </c>
      <c r="CH9" s="7">
        <f t="shared" si="27"/>
        <v>0.81076339194190361</v>
      </c>
      <c r="CI9" s="7">
        <f t="shared" si="70"/>
        <v>0.4454493590701703</v>
      </c>
      <c r="CJ9" s="46">
        <f t="shared" si="28"/>
        <v>4.26481577471184</v>
      </c>
      <c r="CK9" s="7">
        <v>21.5</v>
      </c>
      <c r="CL9" s="7">
        <v>21.5</v>
      </c>
      <c r="CM9" s="7">
        <v>21.1</v>
      </c>
      <c r="CN9" s="7">
        <f t="shared" si="29"/>
        <v>21.366666666666664</v>
      </c>
      <c r="CO9" s="7">
        <f t="shared" si="30"/>
        <v>0.23094010767584949</v>
      </c>
      <c r="CP9" s="7">
        <v>82.4</v>
      </c>
      <c r="CR9" s="7">
        <f t="shared" si="31"/>
        <v>369.82173009723175</v>
      </c>
      <c r="CS9" s="7">
        <f t="shared" si="32"/>
        <v>203.18733465192992</v>
      </c>
      <c r="CT9" s="46">
        <f t="shared" si="33"/>
        <v>226.88489548851504</v>
      </c>
      <c r="CU9" s="7">
        <v>23.6</v>
      </c>
      <c r="CV9" s="7">
        <v>24.2</v>
      </c>
      <c r="CW9" s="7">
        <v>23.7</v>
      </c>
      <c r="CX9" s="7">
        <f t="shared" si="34"/>
        <v>23.833333333333332</v>
      </c>
      <c r="CY9" s="7">
        <f t="shared" si="35"/>
        <v>0.32145502536643106</v>
      </c>
      <c r="CZ9" s="7">
        <v>83.5</v>
      </c>
      <c r="DB9" s="7">
        <f t="shared" si="36"/>
        <v>66.903951663337651</v>
      </c>
      <c r="DC9" s="7">
        <f t="shared" si="37"/>
        <v>36.758347359905144</v>
      </c>
      <c r="DD9" s="46">
        <f t="shared" si="38"/>
        <v>41.045441210050328</v>
      </c>
      <c r="DE9" s="7">
        <v>20.5</v>
      </c>
      <c r="DF9" s="7">
        <v>20.7</v>
      </c>
      <c r="DG9" s="7">
        <v>20.5</v>
      </c>
      <c r="DH9" s="7">
        <f t="shared" si="39"/>
        <v>20.566666666666666</v>
      </c>
      <c r="DI9" s="7">
        <f t="shared" si="40"/>
        <v>0.11547005383792475</v>
      </c>
      <c r="DJ9" s="7">
        <v>81.8</v>
      </c>
      <c r="DL9" s="7">
        <f t="shared" si="41"/>
        <v>643.89703091058345</v>
      </c>
      <c r="DM9" s="7">
        <f t="shared" si="42"/>
        <v>1047.9348654046998</v>
      </c>
      <c r="DN9" s="46">
        <f t="shared" si="43"/>
        <v>1170.1545907052337</v>
      </c>
      <c r="DO9" s="7">
        <v>21.5</v>
      </c>
      <c r="DP9" s="7">
        <v>21.5</v>
      </c>
      <c r="DQ9" s="7">
        <v>21.5</v>
      </c>
      <c r="DR9" s="7">
        <f t="shared" si="44"/>
        <v>21.5</v>
      </c>
      <c r="DS9" s="7">
        <f t="shared" si="45"/>
        <v>0</v>
      </c>
      <c r="DT9" s="7">
        <v>81.3</v>
      </c>
      <c r="DV9" s="7">
        <f t="shared" si="46"/>
        <v>337.17478808715248</v>
      </c>
      <c r="DW9" s="7">
        <f t="shared" si="47"/>
        <v>548.74801281858288</v>
      </c>
      <c r="DX9" s="46">
        <f t="shared" si="48"/>
        <v>612.74801281858311</v>
      </c>
      <c r="DY9" s="7">
        <v>20.8</v>
      </c>
      <c r="DZ9" s="7">
        <v>20.8</v>
      </c>
      <c r="EA9" s="7">
        <v>20.8</v>
      </c>
      <c r="EB9" s="7">
        <f t="shared" si="79"/>
        <v>20.8</v>
      </c>
      <c r="EC9" s="7">
        <f t="shared" si="49"/>
        <v>0</v>
      </c>
      <c r="ED9" s="7">
        <v>84</v>
      </c>
      <c r="EF9" s="7">
        <f t="shared" si="50"/>
        <v>547.74205922939052</v>
      </c>
      <c r="EG9" s="7">
        <f t="shared" si="51"/>
        <v>300.94026400860344</v>
      </c>
      <c r="EH9" s="46">
        <f t="shared" si="52"/>
        <v>336.03866335883151</v>
      </c>
      <c r="EI9" s="7">
        <v>21.5</v>
      </c>
      <c r="EJ9" s="7">
        <v>21.6</v>
      </c>
      <c r="EK9" s="7">
        <v>21.6</v>
      </c>
      <c r="EL9" s="7">
        <f t="shared" si="75"/>
        <v>21.566666666666666</v>
      </c>
      <c r="EM9" s="7">
        <f t="shared" si="53"/>
        <v>5.77350269189634E-2</v>
      </c>
      <c r="EN9" s="7">
        <v>84.9</v>
      </c>
      <c r="EP9" s="7">
        <f t="shared" si="54"/>
        <v>321.94851545529173</v>
      </c>
      <c r="EQ9" s="7">
        <f t="shared" si="55"/>
        <v>523.96743270234992</v>
      </c>
      <c r="ER9" s="46">
        <f t="shared" si="56"/>
        <v>585.07729535261683</v>
      </c>
      <c r="ES9" s="7">
        <v>21.6</v>
      </c>
      <c r="ET9" s="7">
        <v>21.6</v>
      </c>
      <c r="EU9" s="7">
        <v>21.6</v>
      </c>
      <c r="EV9" s="7">
        <f t="shared" si="76"/>
        <v>21.600000000000005</v>
      </c>
      <c r="EW9" s="7">
        <f t="shared" si="57"/>
        <v>4.3511678576336583E-15</v>
      </c>
      <c r="EX9" s="7">
        <v>81.7</v>
      </c>
      <c r="EZ9" s="7">
        <f t="shared" si="58"/>
        <v>314.59520119974366</v>
      </c>
      <c r="FA9" s="7">
        <f t="shared" si="59"/>
        <v>511.99999999999864</v>
      </c>
      <c r="FB9" s="46">
        <f t="shared" si="60"/>
        <v>571.7141114583543</v>
      </c>
      <c r="FC9" s="7" t="s">
        <v>86</v>
      </c>
      <c r="FD9" s="7" t="s">
        <v>86</v>
      </c>
      <c r="FE9" s="7" t="s">
        <v>86</v>
      </c>
      <c r="FF9" s="7" t="s">
        <v>272</v>
      </c>
      <c r="FG9" s="7" t="s">
        <v>272</v>
      </c>
      <c r="FH9" s="7" t="s">
        <v>823</v>
      </c>
      <c r="FJ9" s="7" t="s">
        <v>272</v>
      </c>
      <c r="FN9" s="7" t="e">
        <f t="shared" si="78"/>
        <v>#DIV/0!</v>
      </c>
      <c r="FO9" s="7" t="e">
        <f t="shared" si="73"/>
        <v>#DIV/0!</v>
      </c>
      <c r="FP9"/>
      <c r="FQ9"/>
      <c r="FR9" s="7" t="e">
        <f t="shared" si="74"/>
        <v>#DIV/0!</v>
      </c>
      <c r="FS9" s="46" t="s">
        <v>272</v>
      </c>
    </row>
    <row r="10" spans="1:176" s="7" customFormat="1">
      <c r="A10" s="7" t="s">
        <v>590</v>
      </c>
      <c r="B10" s="7" t="s">
        <v>634</v>
      </c>
      <c r="C10" s="7">
        <v>12</v>
      </c>
      <c r="E10" s="7">
        <v>29</v>
      </c>
      <c r="F10" s="7">
        <v>29.7</v>
      </c>
      <c r="G10" s="7">
        <v>29.8</v>
      </c>
      <c r="H10" s="7">
        <f t="shared" si="0"/>
        <v>29.5</v>
      </c>
      <c r="I10" s="7">
        <f t="shared" si="1"/>
        <v>0.43588989435406744</v>
      </c>
      <c r="J10" s="7">
        <v>81.5</v>
      </c>
      <c r="K10" s="7" t="s">
        <v>44</v>
      </c>
      <c r="L10" s="46">
        <f t="shared" si="2"/>
        <v>1.3170890159654409</v>
      </c>
      <c r="M10" s="32">
        <v>30.9</v>
      </c>
      <c r="N10" s="32">
        <v>30.5</v>
      </c>
      <c r="O10" s="57">
        <v>31.6</v>
      </c>
      <c r="P10" s="32">
        <f>AVERAGE(M10:N10)</f>
        <v>30.7</v>
      </c>
      <c r="Q10" s="32">
        <f t="shared" si="4"/>
        <v>0.55677643628300311</v>
      </c>
      <c r="R10" s="32">
        <v>81</v>
      </c>
      <c r="S10" s="32" t="s">
        <v>671</v>
      </c>
      <c r="T10" s="46">
        <f t="shared" si="5"/>
        <v>0.57329629237992608</v>
      </c>
      <c r="U10" s="7">
        <v>20.2</v>
      </c>
      <c r="V10" s="7">
        <v>20.3</v>
      </c>
      <c r="W10" s="7">
        <v>19.7</v>
      </c>
      <c r="X10" s="7">
        <f t="shared" si="61"/>
        <v>20.066666666666666</v>
      </c>
      <c r="Y10" s="7">
        <f t="shared" si="62"/>
        <v>0.32145502536643233</v>
      </c>
      <c r="Z10" s="7">
        <v>86.1</v>
      </c>
      <c r="AA10" s="7" t="s">
        <v>685</v>
      </c>
      <c r="AB10" s="7">
        <f t="shared" si="63"/>
        <v>9.1060791388551442E-7</v>
      </c>
      <c r="AC10" s="7">
        <v>17.3</v>
      </c>
      <c r="AD10" s="7" t="s">
        <v>86</v>
      </c>
      <c r="AE10" s="7">
        <v>17.7</v>
      </c>
      <c r="AF10" s="7">
        <f t="shared" si="64"/>
        <v>17.5</v>
      </c>
      <c r="AG10" s="7">
        <f t="shared" si="65"/>
        <v>0.28284271247461801</v>
      </c>
      <c r="AH10" s="7">
        <v>82.4</v>
      </c>
      <c r="AI10" s="7" t="s">
        <v>685</v>
      </c>
      <c r="AJ10" s="7">
        <f t="shared" si="66"/>
        <v>5.3947966093944424E-6</v>
      </c>
      <c r="AK10" s="46">
        <f t="shared" si="67"/>
        <v>0.14441704898131305</v>
      </c>
      <c r="AL10" s="46">
        <f t="shared" si="68"/>
        <v>0.85558295101868698</v>
      </c>
      <c r="AM10" s="7">
        <v>24.3</v>
      </c>
      <c r="AN10" s="7">
        <v>24.9</v>
      </c>
      <c r="AO10" s="7">
        <v>25.2</v>
      </c>
      <c r="AP10" s="7">
        <f t="shared" si="6"/>
        <v>24.8</v>
      </c>
      <c r="AQ10" s="7">
        <f t="shared" si="7"/>
        <v>0.45825756949558316</v>
      </c>
      <c r="AR10" s="7">
        <v>84.3</v>
      </c>
      <c r="AS10" s="7" t="s">
        <v>669</v>
      </c>
      <c r="AT10" s="7">
        <f t="shared" si="8"/>
        <v>34.233878701836964</v>
      </c>
      <c r="AU10" s="7">
        <f t="shared" si="9"/>
        <v>25.992076683399528</v>
      </c>
      <c r="AV10" s="46">
        <f t="shared" si="10"/>
        <v>179.9792813019105</v>
      </c>
      <c r="AW10" s="7">
        <v>21.8</v>
      </c>
      <c r="AX10" s="7">
        <v>22</v>
      </c>
      <c r="AY10" s="7">
        <v>22.5</v>
      </c>
      <c r="AZ10" s="7">
        <f t="shared" si="69"/>
        <v>22.099999999999998</v>
      </c>
      <c r="BA10" s="7">
        <f t="shared" si="11"/>
        <v>0.36055512754639862</v>
      </c>
      <c r="BB10" s="7">
        <v>88.3</v>
      </c>
      <c r="BC10" s="7" t="s">
        <v>685</v>
      </c>
      <c r="BD10" s="7">
        <f t="shared" si="12"/>
        <v>222.45240009708635</v>
      </c>
      <c r="BE10" s="7">
        <f t="shared" si="13"/>
        <v>168.89701257893057</v>
      </c>
      <c r="BF10" s="46">
        <f t="shared" si="14"/>
        <v>1169.5088202555996</v>
      </c>
      <c r="BG10" s="7">
        <v>21.6</v>
      </c>
      <c r="BH10" s="7">
        <v>22</v>
      </c>
      <c r="BI10" s="7">
        <v>22.4</v>
      </c>
      <c r="BJ10" s="7">
        <f t="shared" si="15"/>
        <v>22</v>
      </c>
      <c r="BK10" s="7">
        <f t="shared" si="16"/>
        <v>0.39999999999999858</v>
      </c>
      <c r="BL10" s="7">
        <v>83.7</v>
      </c>
      <c r="BM10" s="7" t="s">
        <v>743</v>
      </c>
      <c r="BN10" s="7">
        <f t="shared" si="17"/>
        <v>238.4185791015625</v>
      </c>
      <c r="BO10" s="7">
        <f t="shared" si="18"/>
        <v>181.01933598375584</v>
      </c>
      <c r="BP10" s="46">
        <f t="shared" si="19"/>
        <v>1253.4485177520762</v>
      </c>
      <c r="BQ10" s="7">
        <v>26.7</v>
      </c>
      <c r="BR10" s="7">
        <v>27.3</v>
      </c>
      <c r="BS10" s="7">
        <v>27</v>
      </c>
      <c r="BT10" s="7">
        <f t="shared" si="20"/>
        <v>27</v>
      </c>
      <c r="BU10" s="7">
        <f t="shared" si="21"/>
        <v>0.30000000000000071</v>
      </c>
      <c r="BV10" s="7">
        <v>82.2</v>
      </c>
      <c r="BW10" s="7" t="s">
        <v>750</v>
      </c>
      <c r="BX10" s="7">
        <f t="shared" si="22"/>
        <v>7.4505805969238281</v>
      </c>
      <c r="BY10" s="7">
        <f t="shared" si="23"/>
        <v>5.6568542494923699</v>
      </c>
      <c r="BZ10" s="46">
        <f t="shared" si="24"/>
        <v>39.170266179752382</v>
      </c>
      <c r="CA10" s="7">
        <v>30.8</v>
      </c>
      <c r="CB10" s="7">
        <v>31</v>
      </c>
      <c r="CC10" s="7">
        <v>31.5</v>
      </c>
      <c r="CD10" s="7">
        <f t="shared" si="25"/>
        <v>31.099999999999998</v>
      </c>
      <c r="CE10" s="7">
        <f t="shared" si="26"/>
        <v>0.36055512754639862</v>
      </c>
      <c r="CF10" s="7">
        <v>83.5</v>
      </c>
      <c r="CG10" s="7" t="s">
        <v>685</v>
      </c>
      <c r="CH10" s="7">
        <f t="shared" si="27"/>
        <v>0.43447734393962145</v>
      </c>
      <c r="CI10" s="7">
        <f t="shared" si="70"/>
        <v>0.32987697769322349</v>
      </c>
      <c r="CJ10" s="46">
        <f t="shared" si="28"/>
        <v>2.2841969145617163</v>
      </c>
      <c r="CK10" s="7">
        <v>22.3</v>
      </c>
      <c r="CL10" s="7">
        <v>22.6</v>
      </c>
      <c r="CM10" s="7">
        <v>22.8</v>
      </c>
      <c r="CN10" s="7">
        <f t="shared" si="29"/>
        <v>22.566666666666666</v>
      </c>
      <c r="CO10" s="7">
        <f t="shared" si="30"/>
        <v>0.25166114784235838</v>
      </c>
      <c r="CP10" s="7">
        <v>82.4</v>
      </c>
      <c r="CR10" s="7">
        <f t="shared" si="31"/>
        <v>160.97425772764586</v>
      </c>
      <c r="CS10" s="7">
        <f t="shared" si="32"/>
        <v>122.21972530053327</v>
      </c>
      <c r="CT10" s="46">
        <f t="shared" si="33"/>
        <v>142.84965023556651</v>
      </c>
      <c r="CU10" s="7">
        <v>24.3</v>
      </c>
      <c r="CV10" s="7">
        <v>24.7</v>
      </c>
      <c r="CW10" s="7">
        <v>25.4</v>
      </c>
      <c r="CX10" s="7">
        <f t="shared" si="34"/>
        <v>24.8</v>
      </c>
      <c r="CY10" s="7">
        <f t="shared" si="35"/>
        <v>0.55677643628300111</v>
      </c>
      <c r="CZ10" s="7">
        <v>83.7</v>
      </c>
      <c r="DA10" s="7" t="s">
        <v>751</v>
      </c>
      <c r="DB10" s="7">
        <f t="shared" si="36"/>
        <v>34.233878701836964</v>
      </c>
      <c r="DC10" s="7">
        <f t="shared" si="37"/>
        <v>25.992076683399528</v>
      </c>
      <c r="DD10" s="46">
        <f t="shared" si="38"/>
        <v>30.379376602178027</v>
      </c>
      <c r="DE10" s="7">
        <v>20.5</v>
      </c>
      <c r="DF10" s="7">
        <v>20.5</v>
      </c>
      <c r="DG10" s="7">
        <v>20.5</v>
      </c>
      <c r="DH10" s="7">
        <f t="shared" si="39"/>
        <v>20.5</v>
      </c>
      <c r="DI10" s="7">
        <f t="shared" si="40"/>
        <v>0</v>
      </c>
      <c r="DJ10" s="7">
        <v>81.599999999999994</v>
      </c>
      <c r="DL10" s="7">
        <f t="shared" si="41"/>
        <v>674.34957617430507</v>
      </c>
      <c r="DM10" s="7">
        <f t="shared" si="42"/>
        <v>1176.267115516963</v>
      </c>
      <c r="DN10" s="46">
        <f t="shared" si="43"/>
        <v>1374.8136450316808</v>
      </c>
      <c r="DO10" s="7">
        <v>20.5</v>
      </c>
      <c r="DP10" s="7">
        <v>20.399999999999999</v>
      </c>
      <c r="DQ10" s="7">
        <v>20.7</v>
      </c>
      <c r="DR10" s="7">
        <f t="shared" si="44"/>
        <v>20.533333333333331</v>
      </c>
      <c r="DS10" s="7">
        <f t="shared" si="45"/>
        <v>0.15275252316519489</v>
      </c>
      <c r="DT10" s="7">
        <v>81.2</v>
      </c>
      <c r="DV10" s="7">
        <f t="shared" si="46"/>
        <v>658.94741056813132</v>
      </c>
      <c r="DW10" s="7">
        <f t="shared" si="47"/>
        <v>1149.4011374687975</v>
      </c>
      <c r="DX10" s="46">
        <f t="shared" si="48"/>
        <v>1343.4128579821283</v>
      </c>
      <c r="DY10" s="7">
        <v>20.100000000000001</v>
      </c>
      <c r="DZ10" s="7">
        <v>20.100000000000001</v>
      </c>
      <c r="EA10" s="7">
        <v>20.2</v>
      </c>
      <c r="EB10" s="7">
        <f t="shared" si="79"/>
        <v>20.133333333333336</v>
      </c>
      <c r="EC10" s="7">
        <f t="shared" si="49"/>
        <v>5.7735026918961339E-2</v>
      </c>
      <c r="ED10" s="7">
        <v>83.5</v>
      </c>
      <c r="EF10" s="7">
        <f t="shared" si="50"/>
        <v>869.48632102796046</v>
      </c>
      <c r="EG10" s="7">
        <f t="shared" si="51"/>
        <v>660.15759792106178</v>
      </c>
      <c r="EH10" s="46">
        <f t="shared" si="52"/>
        <v>771.5880700229651</v>
      </c>
      <c r="EI10" s="7">
        <v>20.5</v>
      </c>
      <c r="EJ10" s="7">
        <v>20.5</v>
      </c>
      <c r="EK10" s="7">
        <v>20.5</v>
      </c>
      <c r="EL10" s="7">
        <f t="shared" si="75"/>
        <v>20.5</v>
      </c>
      <c r="EM10" s="7">
        <f t="shared" si="53"/>
        <v>0</v>
      </c>
      <c r="EN10" s="7">
        <v>84.8</v>
      </c>
      <c r="EP10" s="7">
        <f t="shared" si="54"/>
        <v>674.34957617430507</v>
      </c>
      <c r="EQ10" s="7">
        <f t="shared" si="55"/>
        <v>1176.267115516963</v>
      </c>
      <c r="ER10" s="46">
        <f t="shared" si="56"/>
        <v>1374.8136450316808</v>
      </c>
      <c r="ES10" s="7">
        <v>20.9</v>
      </c>
      <c r="ET10" s="7">
        <v>20.9</v>
      </c>
      <c r="EU10" s="7">
        <v>20.9</v>
      </c>
      <c r="EV10" s="7">
        <f t="shared" si="76"/>
        <v>20.9</v>
      </c>
      <c r="EW10" s="7">
        <f t="shared" si="57"/>
        <v>0</v>
      </c>
      <c r="EX10" s="7">
        <v>81.3</v>
      </c>
      <c r="EZ10" s="7">
        <f t="shared" si="58"/>
        <v>511.06141211332988</v>
      </c>
      <c r="FA10" s="7">
        <f t="shared" si="59"/>
        <v>891.44377681523042</v>
      </c>
      <c r="FB10" s="46">
        <f t="shared" si="60"/>
        <v>1041.913908819532</v>
      </c>
      <c r="FC10" s="7" t="s">
        <v>86</v>
      </c>
      <c r="FD10" s="7" t="s">
        <v>86</v>
      </c>
      <c r="FE10" s="7" t="s">
        <v>86</v>
      </c>
      <c r="FF10" s="7" t="s">
        <v>272</v>
      </c>
      <c r="FG10" s="7" t="s">
        <v>272</v>
      </c>
      <c r="FH10" s="7" t="s">
        <v>823</v>
      </c>
      <c r="FJ10" s="7" t="s">
        <v>272</v>
      </c>
      <c r="FN10" s="7" t="e">
        <f t="shared" si="78"/>
        <v>#DIV/0!</v>
      </c>
      <c r="FO10" s="7" t="e">
        <f t="shared" si="73"/>
        <v>#DIV/0!</v>
      </c>
      <c r="FP10"/>
      <c r="FQ10"/>
      <c r="FR10" s="7" t="e">
        <f t="shared" si="74"/>
        <v>#DIV/0!</v>
      </c>
      <c r="FS10" s="46" t="s">
        <v>272</v>
      </c>
    </row>
    <row r="11" spans="1:176" s="7" customFormat="1">
      <c r="A11" s="7" t="s">
        <v>591</v>
      </c>
      <c r="B11" s="7" t="s">
        <v>634</v>
      </c>
      <c r="C11" s="7">
        <v>12</v>
      </c>
      <c r="E11" s="7">
        <v>29.3</v>
      </c>
      <c r="F11" s="7">
        <v>29.1</v>
      </c>
      <c r="G11" s="7">
        <v>28.7</v>
      </c>
      <c r="H11" s="7">
        <f t="shared" si="0"/>
        <v>29.033333333333335</v>
      </c>
      <c r="I11" s="7">
        <f t="shared" si="1"/>
        <v>0.30550504633039016</v>
      </c>
      <c r="J11" s="7">
        <v>81.400000000000006</v>
      </c>
      <c r="K11" s="7" t="s">
        <v>44</v>
      </c>
      <c r="L11" s="46">
        <f t="shared" si="2"/>
        <v>1.8201022752267255</v>
      </c>
      <c r="M11" s="57">
        <v>32.299999999999997</v>
      </c>
      <c r="N11" s="32">
        <v>31.3</v>
      </c>
      <c r="O11" s="32">
        <v>30.5</v>
      </c>
      <c r="P11" s="32">
        <f>AVERAGE(N11:O11)</f>
        <v>30.9</v>
      </c>
      <c r="Q11" s="32">
        <f t="shared" si="4"/>
        <v>0.90184995056457729</v>
      </c>
      <c r="R11" s="32">
        <v>81.099999999999994</v>
      </c>
      <c r="S11" s="32" t="s">
        <v>671</v>
      </c>
      <c r="T11" s="46">
        <f t="shared" si="5"/>
        <v>0.49908341026692332</v>
      </c>
      <c r="U11" s="7">
        <v>19.600000000000001</v>
      </c>
      <c r="V11" s="7">
        <v>19.399999999999999</v>
      </c>
      <c r="W11" s="7">
        <v>19</v>
      </c>
      <c r="X11" s="7">
        <f t="shared" si="61"/>
        <v>19.333333333333332</v>
      </c>
      <c r="Y11" s="7">
        <f t="shared" si="62"/>
        <v>0.30550504633038983</v>
      </c>
      <c r="Z11" s="7">
        <v>85.9</v>
      </c>
      <c r="AA11" s="7" t="s">
        <v>685</v>
      </c>
      <c r="AB11" s="7">
        <f t="shared" si="63"/>
        <v>1.5138636130983366E-6</v>
      </c>
      <c r="AC11" s="7">
        <v>18</v>
      </c>
      <c r="AD11" s="7">
        <v>17.3</v>
      </c>
      <c r="AE11" s="7">
        <v>17.2</v>
      </c>
      <c r="AF11" s="7">
        <f t="shared" si="64"/>
        <v>17.5</v>
      </c>
      <c r="AG11" s="7">
        <f t="shared" si="65"/>
        <v>0.43588989435406744</v>
      </c>
      <c r="AH11" s="7">
        <v>83.2</v>
      </c>
      <c r="AI11" s="7" t="s">
        <v>685</v>
      </c>
      <c r="AJ11" s="7">
        <f t="shared" si="66"/>
        <v>5.3947966093944424E-6</v>
      </c>
      <c r="AK11" s="46">
        <f t="shared" si="67"/>
        <v>0.2191254981927748</v>
      </c>
      <c r="AL11" s="46">
        <f t="shared" si="68"/>
        <v>0.78087450180722517</v>
      </c>
      <c r="AM11" s="7">
        <v>25.6</v>
      </c>
      <c r="AN11" s="7">
        <v>25.3</v>
      </c>
      <c r="AO11" s="7">
        <v>25.4</v>
      </c>
      <c r="AP11" s="7">
        <f t="shared" si="6"/>
        <v>25.433333333333337</v>
      </c>
      <c r="AQ11" s="7">
        <f t="shared" si="7"/>
        <v>0.15275252316519528</v>
      </c>
      <c r="AR11" s="7">
        <v>84.1</v>
      </c>
      <c r="AS11" s="7" t="s">
        <v>669</v>
      </c>
      <c r="AT11" s="7">
        <f t="shared" si="8"/>
        <v>22.070073370435257</v>
      </c>
      <c r="AU11" s="7">
        <f t="shared" si="9"/>
        <v>12.125732532083145</v>
      </c>
      <c r="AV11" s="46">
        <f t="shared" si="10"/>
        <v>55.33693080946508</v>
      </c>
      <c r="AW11" s="7">
        <v>22.9</v>
      </c>
      <c r="AX11" s="7">
        <v>22.5</v>
      </c>
      <c r="AY11" s="7">
        <v>22.2</v>
      </c>
      <c r="AZ11" s="7">
        <f t="shared" si="69"/>
        <v>22.533333333333331</v>
      </c>
      <c r="BA11" s="7">
        <f t="shared" si="11"/>
        <v>0.35118845842842422</v>
      </c>
      <c r="BB11" s="7">
        <v>88.3</v>
      </c>
      <c r="BC11" s="7" t="s">
        <v>686</v>
      </c>
      <c r="BD11" s="7">
        <f t="shared" si="12"/>
        <v>164.7368526420328</v>
      </c>
      <c r="BE11" s="7">
        <f t="shared" si="13"/>
        <v>90.509667991878061</v>
      </c>
      <c r="BF11" s="46">
        <f t="shared" si="14"/>
        <v>413.0494567649655</v>
      </c>
      <c r="BG11" s="7">
        <v>23.1</v>
      </c>
      <c r="BH11" s="7">
        <v>22.7</v>
      </c>
      <c r="BI11" s="7">
        <v>22.2</v>
      </c>
      <c r="BJ11" s="7">
        <f t="shared" si="15"/>
        <v>22.666666666666668</v>
      </c>
      <c r="BK11" s="7">
        <f t="shared" si="16"/>
        <v>0.45092497528229047</v>
      </c>
      <c r="BL11" s="7">
        <v>83.7</v>
      </c>
      <c r="BM11" s="7" t="s">
        <v>743</v>
      </c>
      <c r="BN11" s="7">
        <f t="shared" si="17"/>
        <v>150.1942932480423</v>
      </c>
      <c r="BO11" s="7">
        <f t="shared" si="18"/>
        <v>82.519699740132992</v>
      </c>
      <c r="BP11" s="46">
        <f t="shared" si="19"/>
        <v>376.58647861937368</v>
      </c>
      <c r="BQ11" s="7">
        <v>27.5</v>
      </c>
      <c r="BR11" s="7">
        <v>26.8</v>
      </c>
      <c r="BS11" s="7">
        <v>27.4</v>
      </c>
      <c r="BT11" s="7">
        <f t="shared" si="20"/>
        <v>27.233333333333331</v>
      </c>
      <c r="BU11" s="7">
        <f t="shared" si="21"/>
        <v>0.37859388972001751</v>
      </c>
      <c r="BV11" s="7">
        <v>82.1</v>
      </c>
      <c r="BW11" s="7" t="s">
        <v>750</v>
      </c>
      <c r="BX11" s="7">
        <f t="shared" si="22"/>
        <v>6.3379642438207444</v>
      </c>
      <c r="BY11" s="7">
        <f t="shared" si="23"/>
        <v>3.4822022531845032</v>
      </c>
      <c r="BZ11" s="46">
        <f t="shared" si="24"/>
        <v>15.891360347854404</v>
      </c>
      <c r="CA11" s="7">
        <v>31.2</v>
      </c>
      <c r="CB11" s="7">
        <v>31.1</v>
      </c>
      <c r="CC11" s="7">
        <v>31.8</v>
      </c>
      <c r="CD11" s="7">
        <f t="shared" si="25"/>
        <v>31.366666666666664</v>
      </c>
      <c r="CE11" s="7">
        <f t="shared" si="26"/>
        <v>0.37859388972001828</v>
      </c>
      <c r="CF11" s="7">
        <v>83.5</v>
      </c>
      <c r="CG11" s="7" t="s">
        <v>685</v>
      </c>
      <c r="CH11" s="7">
        <f t="shared" si="27"/>
        <v>0.36115403329807821</v>
      </c>
      <c r="CI11" s="7">
        <f t="shared" si="70"/>
        <v>0.1984251314960255</v>
      </c>
      <c r="CJ11" s="46">
        <f t="shared" si="28"/>
        <v>0.90553191268257505</v>
      </c>
      <c r="CK11" s="7">
        <v>22.9</v>
      </c>
      <c r="CL11" s="7">
        <v>22.3</v>
      </c>
      <c r="CM11" s="7">
        <v>22.3</v>
      </c>
      <c r="CN11" s="7">
        <f t="shared" si="29"/>
        <v>22.5</v>
      </c>
      <c r="CO11" s="7">
        <f t="shared" si="30"/>
        <v>0.34641016151377418</v>
      </c>
      <c r="CP11" s="7">
        <v>82.3</v>
      </c>
      <c r="CR11" s="7">
        <f t="shared" si="31"/>
        <v>168.58739404357624</v>
      </c>
      <c r="CS11" s="7">
        <f t="shared" si="32"/>
        <v>92.625231196184146</v>
      </c>
      <c r="CT11" s="46">
        <f t="shared" si="33"/>
        <v>118.61730787958368</v>
      </c>
      <c r="CU11" s="7">
        <v>24.8</v>
      </c>
      <c r="CV11" s="7">
        <v>24.4</v>
      </c>
      <c r="CW11" s="7">
        <v>24</v>
      </c>
      <c r="CX11" s="7">
        <f t="shared" si="34"/>
        <v>24.400000000000002</v>
      </c>
      <c r="CY11" s="7">
        <f t="shared" si="35"/>
        <v>0.40000000000000036</v>
      </c>
      <c r="CZ11" s="7">
        <v>83.7</v>
      </c>
      <c r="DB11" s="7">
        <f t="shared" si="36"/>
        <v>45.17187376351341</v>
      </c>
      <c r="DC11" s="7">
        <f t="shared" si="37"/>
        <v>24.818316189339669</v>
      </c>
      <c r="DD11" s="46">
        <f t="shared" si="38"/>
        <v>31.78272069570864</v>
      </c>
      <c r="DE11" s="7">
        <v>21.8</v>
      </c>
      <c r="DF11" s="7">
        <v>21.5</v>
      </c>
      <c r="DG11" s="7">
        <v>21.5</v>
      </c>
      <c r="DH11" s="7">
        <f t="shared" si="39"/>
        <v>21.599999999999998</v>
      </c>
      <c r="DI11" s="7">
        <f t="shared" si="40"/>
        <v>0.17320508075688815</v>
      </c>
      <c r="DJ11" s="7">
        <v>81.8</v>
      </c>
      <c r="DL11" s="7">
        <f t="shared" si="41"/>
        <v>314.5952011997453</v>
      </c>
      <c r="DM11" s="7">
        <f t="shared" si="42"/>
        <v>630.34593963259817</v>
      </c>
      <c r="DN11" s="46">
        <f t="shared" si="43"/>
        <v>807.23078826847382</v>
      </c>
      <c r="DO11" s="10">
        <v>23</v>
      </c>
      <c r="DP11" s="7">
        <v>22.4</v>
      </c>
      <c r="DQ11" s="7">
        <v>21.8</v>
      </c>
      <c r="DR11" s="7">
        <f>AVERAGE(DP11:DQ11)</f>
        <v>22.1</v>
      </c>
      <c r="DS11" s="7">
        <f t="shared" si="45"/>
        <v>0.59999999999999964</v>
      </c>
      <c r="DT11" s="7">
        <v>81.3</v>
      </c>
      <c r="DU11" s="7" t="s">
        <v>671</v>
      </c>
      <c r="DV11" s="7">
        <f t="shared" si="46"/>
        <v>222.45240009708559</v>
      </c>
      <c r="DW11" s="7">
        <f t="shared" si="47"/>
        <v>445.7218884076151</v>
      </c>
      <c r="DX11" s="46">
        <f t="shared" si="48"/>
        <v>570.79836436719847</v>
      </c>
      <c r="DY11" s="7">
        <v>22.5</v>
      </c>
      <c r="DZ11" s="7">
        <v>22.2</v>
      </c>
      <c r="EA11" s="7">
        <v>22</v>
      </c>
      <c r="EB11" s="7">
        <f t="shared" si="79"/>
        <v>22.233333333333334</v>
      </c>
      <c r="EC11" s="7">
        <f t="shared" si="49"/>
        <v>0.25166114784235838</v>
      </c>
      <c r="ED11" s="7">
        <v>83.9</v>
      </c>
      <c r="EF11" s="7">
        <f t="shared" si="50"/>
        <v>202.81485580226322</v>
      </c>
      <c r="EG11" s="7">
        <f t="shared" si="51"/>
        <v>111.43047210190377</v>
      </c>
      <c r="EH11" s="46">
        <f t="shared" si="52"/>
        <v>142.69959109179962</v>
      </c>
      <c r="EI11" s="7">
        <v>20.7</v>
      </c>
      <c r="EJ11" s="7">
        <v>20.6</v>
      </c>
      <c r="EK11" s="7">
        <v>20.5</v>
      </c>
      <c r="EL11" s="7">
        <f t="shared" si="75"/>
        <v>20.599999999999998</v>
      </c>
      <c r="EM11" s="7">
        <f t="shared" si="53"/>
        <v>9.9999999999999645E-2</v>
      </c>
      <c r="EN11" s="7">
        <v>84.9</v>
      </c>
      <c r="EP11" s="7">
        <f t="shared" si="54"/>
        <v>629.19040239949061</v>
      </c>
      <c r="EQ11" s="7">
        <f t="shared" si="55"/>
        <v>1260.6918792651963</v>
      </c>
      <c r="ER11" s="46">
        <f t="shared" si="56"/>
        <v>1614.4615765369476</v>
      </c>
      <c r="ES11" s="7">
        <v>22.9</v>
      </c>
      <c r="ET11" s="7">
        <v>22.7</v>
      </c>
      <c r="EU11" s="7">
        <v>22.7</v>
      </c>
      <c r="EV11" s="7">
        <f t="shared" si="76"/>
        <v>22.766666666666666</v>
      </c>
      <c r="EW11" s="7">
        <f t="shared" si="57"/>
        <v>0.11547005383792475</v>
      </c>
      <c r="EX11" s="7">
        <v>81.599999999999994</v>
      </c>
      <c r="EZ11" s="7">
        <f t="shared" si="58"/>
        <v>140.13623074097757</v>
      </c>
      <c r="FA11" s="7">
        <f t="shared" si="59"/>
        <v>280.78719480182463</v>
      </c>
      <c r="FB11" s="46">
        <f t="shared" si="60"/>
        <v>359.58043725589937</v>
      </c>
      <c r="FC11" s="7">
        <v>20.9</v>
      </c>
      <c r="FD11" s="7">
        <v>20.7</v>
      </c>
      <c r="FE11" s="7">
        <v>20.399999999999999</v>
      </c>
      <c r="FF11" s="7">
        <f t="shared" si="77"/>
        <v>20.666666666666664</v>
      </c>
      <c r="FG11" s="7">
        <f t="shared" si="71"/>
        <v>0.25166114784235838</v>
      </c>
      <c r="FH11" s="7">
        <v>80.3</v>
      </c>
      <c r="FJ11" s="7">
        <f t="shared" si="72"/>
        <v>600.77717299217034</v>
      </c>
      <c r="FN11" s="7" t="e">
        <f t="shared" si="78"/>
        <v>#DIV/0!</v>
      </c>
      <c r="FO11" s="7" t="e">
        <f t="shared" si="73"/>
        <v>#DIV/0!</v>
      </c>
      <c r="FP11"/>
      <c r="FQ11"/>
      <c r="FR11" s="7" t="e">
        <f t="shared" si="74"/>
        <v>#DIV/0!</v>
      </c>
      <c r="FS11" s="46" t="s">
        <v>831</v>
      </c>
    </row>
    <row r="12" spans="1:176" s="6" customFormat="1">
      <c r="A12" s="6" t="s">
        <v>592</v>
      </c>
      <c r="B12" s="6" t="s">
        <v>635</v>
      </c>
      <c r="C12" s="6">
        <v>12</v>
      </c>
      <c r="E12" s="6">
        <v>28</v>
      </c>
      <c r="F12" s="6">
        <v>27.9</v>
      </c>
      <c r="G12" s="12">
        <v>29</v>
      </c>
      <c r="H12" s="6">
        <f>AVERAGE(E12:F12)</f>
        <v>27.95</v>
      </c>
      <c r="I12" s="6">
        <f>STDEV(E12:F12)</f>
        <v>7.0710678118655765E-2</v>
      </c>
      <c r="J12" s="6">
        <v>81.3</v>
      </c>
      <c r="K12" s="6" t="s">
        <v>649</v>
      </c>
      <c r="L12" s="47">
        <f t="shared" si="2"/>
        <v>3.8566623771241946</v>
      </c>
      <c r="M12" s="56">
        <v>31</v>
      </c>
      <c r="N12" s="56">
        <v>30.8</v>
      </c>
      <c r="O12" s="59">
        <v>32.4</v>
      </c>
      <c r="P12" s="56">
        <f>AVERAGE(M12:N12)</f>
        <v>30.9</v>
      </c>
      <c r="Q12" s="56">
        <f t="shared" si="4"/>
        <v>0.87177978870813366</v>
      </c>
      <c r="R12" s="56">
        <v>81.099999999999994</v>
      </c>
      <c r="S12" s="56" t="s">
        <v>671</v>
      </c>
      <c r="T12" s="47">
        <f t="shared" si="5"/>
        <v>0.49908341026692332</v>
      </c>
      <c r="U12" s="6">
        <v>20</v>
      </c>
      <c r="V12" s="6">
        <v>19.899999999999999</v>
      </c>
      <c r="W12" s="6">
        <v>20.3</v>
      </c>
      <c r="X12" s="6">
        <f t="shared" si="61"/>
        <v>20.066666666666666</v>
      </c>
      <c r="Y12" s="6">
        <f t="shared" si="62"/>
        <v>0.20816659994661424</v>
      </c>
      <c r="Z12" s="6">
        <v>85.9</v>
      </c>
      <c r="AA12" s="6" t="s">
        <v>685</v>
      </c>
      <c r="AB12" s="6">
        <f t="shared" si="63"/>
        <v>9.1060791388551442E-7</v>
      </c>
      <c r="AC12" s="6">
        <v>16.899999999999999</v>
      </c>
      <c r="AD12" s="6">
        <v>17.5</v>
      </c>
      <c r="AE12" s="6">
        <v>17.2</v>
      </c>
      <c r="AF12" s="6">
        <f t="shared" si="64"/>
        <v>17.2</v>
      </c>
      <c r="AG12" s="6">
        <f t="shared" si="65"/>
        <v>0.30000000000000071</v>
      </c>
      <c r="AH12" s="6">
        <v>83.2</v>
      </c>
      <c r="AI12" s="6" t="s">
        <v>685</v>
      </c>
      <c r="AJ12" s="6">
        <f t="shared" si="66"/>
        <v>6.6417737067880589E-6</v>
      </c>
      <c r="AK12" s="47">
        <f t="shared" si="67"/>
        <v>0.12057228562085032</v>
      </c>
      <c r="AL12" s="47">
        <f t="shared" si="68"/>
        <v>0.87942771437914968</v>
      </c>
      <c r="AM12" s="6">
        <v>24.9</v>
      </c>
      <c r="AN12" s="6">
        <v>25.4</v>
      </c>
      <c r="AO12" s="6">
        <v>25</v>
      </c>
      <c r="AP12" s="6">
        <f t="shared" si="6"/>
        <v>25.099999999999998</v>
      </c>
      <c r="AQ12" s="6">
        <f t="shared" si="7"/>
        <v>0.26457513110645881</v>
      </c>
      <c r="AR12" s="6">
        <v>84.1</v>
      </c>
      <c r="AS12" s="6" t="s">
        <v>669</v>
      </c>
      <c r="AT12" s="6">
        <f t="shared" si="8"/>
        <v>27.806550012135791</v>
      </c>
      <c r="AU12" s="6">
        <f t="shared" si="9"/>
        <v>7.2100037008866611</v>
      </c>
      <c r="AV12" s="47">
        <f t="shared" si="10"/>
        <v>59.798183834377362</v>
      </c>
      <c r="AW12" s="6">
        <v>22.5</v>
      </c>
      <c r="AX12" s="6">
        <v>22.5</v>
      </c>
      <c r="AY12" s="6">
        <v>22.5</v>
      </c>
      <c r="AZ12" s="6">
        <f t="shared" si="69"/>
        <v>22.5</v>
      </c>
      <c r="BA12" s="6">
        <f t="shared" si="11"/>
        <v>0</v>
      </c>
      <c r="BB12" s="6">
        <v>88.1</v>
      </c>
      <c r="BC12" s="6" t="s">
        <v>686</v>
      </c>
      <c r="BD12" s="6">
        <f t="shared" si="12"/>
        <v>168.58739404357624</v>
      </c>
      <c r="BE12" s="6">
        <f t="shared" si="13"/>
        <v>43.713288216140704</v>
      </c>
      <c r="BF12" s="47">
        <f t="shared" si="14"/>
        <v>362.54839153999961</v>
      </c>
      <c r="BG12" s="6">
        <v>22.5</v>
      </c>
      <c r="BH12" s="6">
        <v>22.9</v>
      </c>
      <c r="BI12" s="6">
        <v>22.7</v>
      </c>
      <c r="BJ12" s="6">
        <f t="shared" si="15"/>
        <v>22.7</v>
      </c>
      <c r="BK12" s="6">
        <f t="shared" si="16"/>
        <v>0.19999999999999929</v>
      </c>
      <c r="BL12" s="6">
        <v>83.5</v>
      </c>
      <c r="BM12" s="6" t="s">
        <v>743</v>
      </c>
      <c r="BN12" s="6">
        <f t="shared" si="17"/>
        <v>146.76385084926093</v>
      </c>
      <c r="BO12" s="6">
        <f t="shared" si="18"/>
        <v>38.054627680087108</v>
      </c>
      <c r="BP12" s="47">
        <f t="shared" si="19"/>
        <v>315.61670647725037</v>
      </c>
      <c r="BQ12" s="6">
        <v>26.5</v>
      </c>
      <c r="BR12" s="6">
        <v>27.4</v>
      </c>
      <c r="BS12" s="6">
        <v>27</v>
      </c>
      <c r="BT12" s="6">
        <f t="shared" si="20"/>
        <v>26.966666666666669</v>
      </c>
      <c r="BU12" s="6">
        <f t="shared" si="21"/>
        <v>0.45092497528228875</v>
      </c>
      <c r="BV12" s="6">
        <v>82.1</v>
      </c>
      <c r="BX12" s="6">
        <f t="shared" si="22"/>
        <v>7.6247296631095995</v>
      </c>
      <c r="BY12" s="6">
        <f t="shared" si="23"/>
        <v>1.9770280407057947</v>
      </c>
      <c r="BZ12" s="47">
        <f t="shared" si="24"/>
        <v>16.397035442479091</v>
      </c>
      <c r="CA12" s="6">
        <v>30</v>
      </c>
      <c r="CB12" s="6">
        <v>30.4</v>
      </c>
      <c r="CC12" s="6">
        <v>30.6</v>
      </c>
      <c r="CD12" s="6">
        <f t="shared" si="25"/>
        <v>30.333333333333332</v>
      </c>
      <c r="CE12" s="6">
        <f t="shared" si="26"/>
        <v>0.30550504633038983</v>
      </c>
      <c r="CF12" s="6">
        <v>83.4</v>
      </c>
      <c r="CG12" s="6" t="s">
        <v>685</v>
      </c>
      <c r="CH12" s="6">
        <f t="shared" si="27"/>
        <v>0.7391912173331715</v>
      </c>
      <c r="CI12" s="6">
        <f t="shared" si="70"/>
        <v>0.19166604308370019</v>
      </c>
      <c r="CJ12" s="47">
        <f t="shared" si="28"/>
        <v>1.58963597726272</v>
      </c>
      <c r="CK12" s="6">
        <v>21.6</v>
      </c>
      <c r="CL12" s="6">
        <v>22</v>
      </c>
      <c r="CM12" s="6">
        <v>21.9</v>
      </c>
      <c r="CN12" s="6">
        <f t="shared" si="29"/>
        <v>21.833333333333332</v>
      </c>
      <c r="CO12" s="6">
        <f t="shared" si="30"/>
        <v>0.20816659994661224</v>
      </c>
      <c r="CP12" s="6">
        <v>82.2</v>
      </c>
      <c r="CR12" s="6">
        <f t="shared" si="31"/>
        <v>267.6158066533506</v>
      </c>
      <c r="CS12" s="6">
        <f t="shared" si="32"/>
        <v>69.390519699290934</v>
      </c>
      <c r="CT12" s="47">
        <f t="shared" si="33"/>
        <v>78.904176619312722</v>
      </c>
      <c r="CU12" s="6">
        <v>22.2</v>
      </c>
      <c r="CV12" s="6">
        <v>22.6</v>
      </c>
      <c r="CW12" s="6">
        <v>22.4</v>
      </c>
      <c r="CX12" s="6">
        <f t="shared" si="34"/>
        <v>22.399999999999995</v>
      </c>
      <c r="CY12" s="6">
        <f t="shared" si="35"/>
        <v>0.20000000000000107</v>
      </c>
      <c r="CZ12" s="6">
        <v>83.4</v>
      </c>
      <c r="DA12" s="6" t="s">
        <v>745</v>
      </c>
      <c r="DB12" s="6">
        <f t="shared" si="36"/>
        <v>180.68749505405466</v>
      </c>
      <c r="DC12" s="6">
        <f t="shared" si="37"/>
        <v>46.850742270260191</v>
      </c>
      <c r="DD12" s="47">
        <f t="shared" si="38"/>
        <v>53.274125325167233</v>
      </c>
      <c r="DE12" s="6">
        <v>21.2</v>
      </c>
      <c r="DF12" s="6">
        <v>21.4</v>
      </c>
      <c r="DG12" s="6">
        <v>21.1</v>
      </c>
      <c r="DH12" s="6">
        <f t="shared" si="39"/>
        <v>21.233333333333331</v>
      </c>
      <c r="DI12" s="6">
        <f t="shared" si="40"/>
        <v>0.15275252316519336</v>
      </c>
      <c r="DJ12" s="6">
        <v>82.1</v>
      </c>
      <c r="DL12" s="6">
        <f t="shared" si="41"/>
        <v>405.62971160452724</v>
      </c>
      <c r="DM12" s="6">
        <f t="shared" si="42"/>
        <v>812.74933860771989</v>
      </c>
      <c r="DN12" s="46">
        <f t="shared" si="43"/>
        <v>924.17981070962412</v>
      </c>
      <c r="DO12" s="6">
        <v>22.7</v>
      </c>
      <c r="DP12" s="6">
        <v>22.7</v>
      </c>
      <c r="DQ12" s="6">
        <v>22.5</v>
      </c>
      <c r="DR12" s="6">
        <f t="shared" si="44"/>
        <v>22.633333333333336</v>
      </c>
      <c r="DS12" s="6">
        <f t="shared" si="45"/>
        <v>0.11547005383792475</v>
      </c>
      <c r="DT12" s="6">
        <v>81.599999999999994</v>
      </c>
      <c r="DV12" s="6">
        <f t="shared" si="46"/>
        <v>153.70491843695365</v>
      </c>
      <c r="DW12" s="6">
        <f t="shared" si="47"/>
        <v>307.97440923702129</v>
      </c>
      <c r="DX12" s="47">
        <f t="shared" si="48"/>
        <v>350.19866238175382</v>
      </c>
      <c r="DY12" s="6">
        <v>22.5</v>
      </c>
      <c r="DZ12" s="6">
        <v>22.4</v>
      </c>
      <c r="EA12" s="6">
        <v>22.5</v>
      </c>
      <c r="EB12" s="6">
        <f t="shared" si="79"/>
        <v>22.466666666666669</v>
      </c>
      <c r="EC12" s="6">
        <f t="shared" si="49"/>
        <v>5.77350269189634E-2</v>
      </c>
      <c r="ED12" s="6">
        <v>84</v>
      </c>
      <c r="EF12" s="6">
        <f t="shared" si="50"/>
        <v>172.52793758396817</v>
      </c>
      <c r="EG12" s="7">
        <f t="shared" si="51"/>
        <v>44.735037893728574</v>
      </c>
      <c r="EH12" s="47">
        <f t="shared" si="52"/>
        <v>50.868351272406969</v>
      </c>
      <c r="EI12" s="6">
        <v>20.2</v>
      </c>
      <c r="EJ12" s="6">
        <v>20.100000000000001</v>
      </c>
      <c r="EK12" s="6">
        <v>20.100000000000001</v>
      </c>
      <c r="EL12" s="6">
        <f t="shared" si="75"/>
        <v>20.133333333333333</v>
      </c>
      <c r="EM12" s="6">
        <f t="shared" si="53"/>
        <v>5.7735026918961346E-2</v>
      </c>
      <c r="EN12" s="6">
        <v>84.9</v>
      </c>
      <c r="EP12" s="6">
        <f t="shared" si="54"/>
        <v>869.48632102796364</v>
      </c>
      <c r="EQ12" s="6">
        <f t="shared" si="55"/>
        <v>1742.1663456273548</v>
      </c>
      <c r="ER12" s="47">
        <f t="shared" si="56"/>
        <v>1981.0227914607779</v>
      </c>
      <c r="ES12" s="6">
        <v>23.5</v>
      </c>
      <c r="ET12" s="6">
        <v>23.5</v>
      </c>
      <c r="EU12" s="6">
        <v>23.2</v>
      </c>
      <c r="EV12" s="6">
        <f t="shared" si="76"/>
        <v>23.400000000000002</v>
      </c>
      <c r="EW12" s="6">
        <f t="shared" si="57"/>
        <v>0.17320508075688815</v>
      </c>
      <c r="EX12" s="6">
        <v>81.7</v>
      </c>
      <c r="EZ12" s="6">
        <f t="shared" si="58"/>
        <v>90.343747527026977</v>
      </c>
      <c r="FA12" s="6">
        <f t="shared" si="59"/>
        <v>181.01933598375609</v>
      </c>
      <c r="FB12" s="47">
        <f t="shared" si="60"/>
        <v>205.83765217309585</v>
      </c>
      <c r="FC12" s="6">
        <v>32.5</v>
      </c>
      <c r="FD12" s="6">
        <v>30.5</v>
      </c>
      <c r="FE12" s="6">
        <v>31.1</v>
      </c>
      <c r="FF12" s="6">
        <f t="shared" si="77"/>
        <v>31.366666666666664</v>
      </c>
      <c r="FG12" s="6">
        <f t="shared" si="71"/>
        <v>1.0263202878893767</v>
      </c>
      <c r="FH12" s="6">
        <v>80.400000000000006</v>
      </c>
      <c r="FI12" s="55" t="s">
        <v>822</v>
      </c>
      <c r="FJ12" s="12">
        <f t="shared" si="72"/>
        <v>0.36115403329807821</v>
      </c>
      <c r="FN12" s="6" t="e">
        <f t="shared" si="78"/>
        <v>#DIV/0!</v>
      </c>
      <c r="FO12" s="6" t="e">
        <f t="shared" si="73"/>
        <v>#DIV/0!</v>
      </c>
      <c r="FR12" s="6" t="e">
        <f t="shared" si="74"/>
        <v>#DIV/0!</v>
      </c>
      <c r="FS12" s="47" t="s">
        <v>831</v>
      </c>
    </row>
    <row r="13" spans="1:176" s="6" customFormat="1">
      <c r="A13" s="6" t="s">
        <v>593</v>
      </c>
      <c r="B13" s="6" t="s">
        <v>635</v>
      </c>
      <c r="C13" s="6">
        <v>12</v>
      </c>
      <c r="E13" s="6">
        <v>26.8</v>
      </c>
      <c r="F13" s="6">
        <v>27.4</v>
      </c>
      <c r="G13" s="6">
        <v>26.7</v>
      </c>
      <c r="H13" s="6">
        <f t="shared" si="0"/>
        <v>26.966666666666669</v>
      </c>
      <c r="I13" s="6">
        <f t="shared" si="1"/>
        <v>0.37859388972001751</v>
      </c>
      <c r="J13" s="6">
        <v>81.3</v>
      </c>
      <c r="K13" s="6" t="s">
        <v>44</v>
      </c>
      <c r="L13" s="47">
        <f t="shared" si="2"/>
        <v>7.6247296631095995</v>
      </c>
      <c r="M13" s="56">
        <v>30.9</v>
      </c>
      <c r="N13" s="56">
        <v>30.9</v>
      </c>
      <c r="O13" s="56">
        <v>30.4</v>
      </c>
      <c r="P13" s="56">
        <f t="shared" si="3"/>
        <v>30.733333333333331</v>
      </c>
      <c r="Q13" s="56">
        <f t="shared" si="4"/>
        <v>0.28867513459481292</v>
      </c>
      <c r="R13" s="56">
        <v>81.099999999999994</v>
      </c>
      <c r="S13" s="56"/>
      <c r="T13" s="47">
        <f t="shared" si="5"/>
        <v>0.56020218696544</v>
      </c>
      <c r="U13" s="6">
        <v>20.399999999999999</v>
      </c>
      <c r="V13" s="6" t="s">
        <v>86</v>
      </c>
      <c r="W13" s="6">
        <v>20</v>
      </c>
      <c r="X13" s="6">
        <f t="shared" si="61"/>
        <v>20.2</v>
      </c>
      <c r="Y13" s="6">
        <f t="shared" si="62"/>
        <v>0.28284271247461801</v>
      </c>
      <c r="Z13" s="6">
        <v>86.1</v>
      </c>
      <c r="AA13" s="6" t="s">
        <v>685</v>
      </c>
      <c r="AB13" s="6">
        <f t="shared" si="63"/>
        <v>8.3022171334850863E-7</v>
      </c>
      <c r="AC13" s="6" t="s">
        <v>715</v>
      </c>
      <c r="AI13" s="6" t="s">
        <v>735</v>
      </c>
      <c r="AJ13" s="6">
        <f t="shared" si="66"/>
        <v>1</v>
      </c>
      <c r="AK13" s="47">
        <v>0.03</v>
      </c>
      <c r="AL13" s="47">
        <f>1-0.03</f>
        <v>0.97</v>
      </c>
      <c r="AM13" s="6">
        <v>24.1</v>
      </c>
      <c r="AN13" s="6">
        <v>24.4</v>
      </c>
      <c r="AO13" s="6">
        <v>23.5</v>
      </c>
      <c r="AP13" s="6">
        <f t="shared" si="6"/>
        <v>24</v>
      </c>
      <c r="AQ13" s="6">
        <f t="shared" si="7"/>
        <v>0.45825756949558355</v>
      </c>
      <c r="AR13" s="6">
        <v>84.3</v>
      </c>
      <c r="AS13" s="6" t="s">
        <v>669</v>
      </c>
      <c r="AT13" s="6">
        <f t="shared" si="8"/>
        <v>59.604644775390625</v>
      </c>
      <c r="AU13" s="6">
        <f t="shared" si="9"/>
        <v>7.8172797474739601</v>
      </c>
      <c r="AV13" s="47">
        <f t="shared" si="10"/>
        <v>260.57599158246535</v>
      </c>
      <c r="AW13" s="6">
        <v>20.8</v>
      </c>
      <c r="AX13" s="6">
        <v>21.3</v>
      </c>
      <c r="AY13" s="6">
        <v>20.2</v>
      </c>
      <c r="AZ13" s="6">
        <f t="shared" si="69"/>
        <v>20.766666666666666</v>
      </c>
      <c r="BA13" s="6">
        <f t="shared" si="11"/>
        <v>0.55075705472861092</v>
      </c>
      <c r="BB13" s="6">
        <v>88.3</v>
      </c>
      <c r="BC13" s="6" t="s">
        <v>673</v>
      </c>
      <c r="BD13" s="6">
        <f t="shared" si="12"/>
        <v>560.54492296391027</v>
      </c>
      <c r="BE13" s="6">
        <f t="shared" si="13"/>
        <v>73.516694719810275</v>
      </c>
      <c r="BF13" s="47">
        <f t="shared" si="14"/>
        <v>2450.5564906603427</v>
      </c>
      <c r="BG13" s="6">
        <v>20.8</v>
      </c>
      <c r="BH13" s="6">
        <v>20.7</v>
      </c>
      <c r="BI13" s="6">
        <v>20.3</v>
      </c>
      <c r="BJ13" s="6">
        <f t="shared" si="15"/>
        <v>20.599999999999998</v>
      </c>
      <c r="BK13" s="6">
        <f t="shared" si="16"/>
        <v>0.26457513110645881</v>
      </c>
      <c r="BL13" s="6">
        <v>83.7</v>
      </c>
      <c r="BM13" s="6" t="s">
        <v>743</v>
      </c>
      <c r="BN13" s="6">
        <f t="shared" si="17"/>
        <v>629.19040239949061</v>
      </c>
      <c r="BO13" s="6">
        <f t="shared" si="18"/>
        <v>82.519699740133134</v>
      </c>
      <c r="BP13" s="47">
        <f t="shared" si="19"/>
        <v>2750.6566580044378</v>
      </c>
      <c r="BQ13" s="6">
        <v>25.8</v>
      </c>
      <c r="BR13" s="6">
        <v>25.9</v>
      </c>
      <c r="BS13" s="6">
        <v>25</v>
      </c>
      <c r="BT13" s="6">
        <f t="shared" si="20"/>
        <v>25.566666666666666</v>
      </c>
      <c r="BU13" s="6">
        <f t="shared" si="21"/>
        <v>0.49328828623162441</v>
      </c>
      <c r="BV13" s="6">
        <v>82.1</v>
      </c>
      <c r="BX13" s="6">
        <f t="shared" si="22"/>
        <v>20.12178221595569</v>
      </c>
      <c r="BY13" s="6">
        <f t="shared" si="23"/>
        <v>2.6390158215457844</v>
      </c>
      <c r="BZ13" s="47">
        <f t="shared" si="24"/>
        <v>87.96719405152615</v>
      </c>
      <c r="CA13" s="6">
        <v>29.8</v>
      </c>
      <c r="CB13" s="6">
        <v>30.2</v>
      </c>
      <c r="CC13" s="6">
        <v>29.6</v>
      </c>
      <c r="CD13" s="6">
        <f t="shared" si="25"/>
        <v>29.866666666666664</v>
      </c>
      <c r="CE13" s="6">
        <f t="shared" si="26"/>
        <v>0.30550504633038827</v>
      </c>
      <c r="CF13" s="6">
        <v>83.5</v>
      </c>
      <c r="CH13" s="6">
        <f t="shared" si="27"/>
        <v>1.0214978639917724</v>
      </c>
      <c r="CI13" s="6">
        <f t="shared" si="70"/>
        <v>0.13397168281703697</v>
      </c>
      <c r="CJ13" s="47">
        <f t="shared" si="28"/>
        <v>4.4657227605678997</v>
      </c>
      <c r="CK13" s="6">
        <v>20.5</v>
      </c>
      <c r="CL13" s="6">
        <v>20.399999999999999</v>
      </c>
      <c r="CM13" s="6">
        <v>19.899999999999999</v>
      </c>
      <c r="CN13" s="6">
        <f t="shared" si="29"/>
        <v>20.266666666666666</v>
      </c>
      <c r="CO13" s="6">
        <f t="shared" si="30"/>
        <v>0.32145502536643233</v>
      </c>
      <c r="CP13" s="6">
        <v>82.4</v>
      </c>
      <c r="CR13" s="6">
        <f t="shared" si="31"/>
        <v>792.73023237494294</v>
      </c>
      <c r="CS13" s="6">
        <f t="shared" si="32"/>
        <v>103.9683067335981</v>
      </c>
      <c r="CT13" s="47">
        <f t="shared" si="33"/>
        <v>107.1838213748434</v>
      </c>
      <c r="CU13" s="6">
        <v>21.7</v>
      </c>
      <c r="CV13" s="6">
        <v>21.6</v>
      </c>
      <c r="CW13" s="6">
        <v>21.3</v>
      </c>
      <c r="CX13" s="6">
        <f t="shared" si="34"/>
        <v>21.533333333333331</v>
      </c>
      <c r="CY13" s="6">
        <f t="shared" si="35"/>
        <v>0.20816659994661282</v>
      </c>
      <c r="CZ13" s="6">
        <v>83.4</v>
      </c>
      <c r="DA13" s="6" t="s">
        <v>745</v>
      </c>
      <c r="DB13" s="6">
        <f t="shared" si="36"/>
        <v>329.4737052840656</v>
      </c>
      <c r="DC13" s="6">
        <f t="shared" si="37"/>
        <v>43.211198277382081</v>
      </c>
      <c r="DD13" s="47">
        <f t="shared" si="38"/>
        <v>44.547627090084625</v>
      </c>
      <c r="DE13" s="6">
        <v>21.5</v>
      </c>
      <c r="DF13" s="6">
        <v>21</v>
      </c>
      <c r="DG13" s="6">
        <v>20.6</v>
      </c>
      <c r="DH13" s="6">
        <f t="shared" si="39"/>
        <v>21.033333333333335</v>
      </c>
      <c r="DI13" s="6">
        <f t="shared" si="40"/>
        <v>0.45092497528228875</v>
      </c>
      <c r="DJ13" s="6">
        <v>81.8</v>
      </c>
      <c r="DL13" s="6">
        <f t="shared" si="41"/>
        <v>465.94618245804128</v>
      </c>
      <c r="DM13" s="6">
        <f t="shared" si="42"/>
        <v>831.74645386878228</v>
      </c>
      <c r="DN13" s="46">
        <f t="shared" si="43"/>
        <v>857.47057099874462</v>
      </c>
      <c r="DO13" s="6">
        <v>21.4</v>
      </c>
      <c r="DP13" s="6">
        <v>21.2</v>
      </c>
      <c r="DQ13" s="6">
        <v>21</v>
      </c>
      <c r="DR13" s="6">
        <f t="shared" si="44"/>
        <v>21.2</v>
      </c>
      <c r="DS13" s="6">
        <f t="shared" si="45"/>
        <v>0.19999999999999929</v>
      </c>
      <c r="DT13" s="6">
        <v>81.599999999999994</v>
      </c>
      <c r="DV13" s="6">
        <f t="shared" si="46"/>
        <v>415.11085667425419</v>
      </c>
      <c r="DW13" s="6">
        <f t="shared" si="47"/>
        <v>741.00184956947203</v>
      </c>
      <c r="DX13" s="47">
        <f t="shared" si="48"/>
        <v>763.91943254584749</v>
      </c>
      <c r="DY13" s="6">
        <v>21.8</v>
      </c>
      <c r="DZ13" s="6">
        <v>21.8</v>
      </c>
      <c r="EA13" s="6">
        <v>21.7</v>
      </c>
      <c r="EB13" s="6">
        <f t="shared" si="79"/>
        <v>21.766666666666666</v>
      </c>
      <c r="EC13" s="6">
        <f t="shared" si="49"/>
        <v>5.77350269189634E-2</v>
      </c>
      <c r="ED13" s="6">
        <v>84</v>
      </c>
      <c r="EF13" s="6">
        <f t="shared" si="50"/>
        <v>280.27246148195513</v>
      </c>
      <c r="EG13" s="7">
        <f t="shared" si="51"/>
        <v>36.758347359905137</v>
      </c>
      <c r="EH13" s="47">
        <f t="shared" si="52"/>
        <v>37.895203463819733</v>
      </c>
      <c r="EI13" s="6">
        <v>20.7</v>
      </c>
      <c r="EJ13" s="6">
        <v>20.7</v>
      </c>
      <c r="EK13" s="6">
        <v>20.8</v>
      </c>
      <c r="EL13" s="6">
        <f t="shared" si="75"/>
        <v>20.733333333333334</v>
      </c>
      <c r="EM13" s="6">
        <f t="shared" si="53"/>
        <v>5.77350269189634E-2</v>
      </c>
      <c r="EN13" s="6">
        <v>85.2</v>
      </c>
      <c r="EP13" s="6">
        <f t="shared" si="54"/>
        <v>573.64703945260806</v>
      </c>
      <c r="EQ13" s="6">
        <f t="shared" si="55"/>
        <v>1023.9999999999956</v>
      </c>
      <c r="ER13" s="47">
        <f t="shared" si="56"/>
        <v>1055.6701030927791</v>
      </c>
      <c r="ES13" s="6">
        <v>21.8</v>
      </c>
      <c r="ET13" s="6">
        <v>21.8</v>
      </c>
      <c r="EU13" s="6">
        <v>21.8</v>
      </c>
      <c r="EV13" s="6">
        <f t="shared" si="76"/>
        <v>21.8</v>
      </c>
      <c r="EW13" s="6">
        <f t="shared" si="57"/>
        <v>0</v>
      </c>
      <c r="EX13" s="6">
        <v>81.7</v>
      </c>
      <c r="EZ13" s="6">
        <f t="shared" si="58"/>
        <v>273.87102961469526</v>
      </c>
      <c r="FA13" s="6">
        <f t="shared" si="59"/>
        <v>488.87890120213137</v>
      </c>
      <c r="FB13" s="47">
        <f t="shared" si="60"/>
        <v>503.99886721869217</v>
      </c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</row>
    <row r="14" spans="1:176" s="6" customFormat="1">
      <c r="A14" s="6" t="s">
        <v>594</v>
      </c>
      <c r="B14" s="6" t="s">
        <v>635</v>
      </c>
      <c r="C14" s="6">
        <v>12</v>
      </c>
      <c r="E14" s="12">
        <v>26</v>
      </c>
      <c r="F14" s="6">
        <v>27.3</v>
      </c>
      <c r="G14" s="6">
        <v>27.5</v>
      </c>
      <c r="H14" s="6">
        <f>AVERAGE(F14:G14)</f>
        <v>27.4</v>
      </c>
      <c r="I14" s="6">
        <f t="shared" si="1"/>
        <v>0.8144527815247079</v>
      </c>
      <c r="J14" s="6">
        <v>81.3</v>
      </c>
      <c r="K14" s="6" t="s">
        <v>649</v>
      </c>
      <c r="L14" s="47">
        <f t="shared" si="2"/>
        <v>5.6464842204392047</v>
      </c>
      <c r="M14" s="56">
        <v>31.4</v>
      </c>
      <c r="N14" s="56">
        <v>31.9</v>
      </c>
      <c r="O14" s="56">
        <v>31.4</v>
      </c>
      <c r="P14" s="56">
        <f t="shared" si="3"/>
        <v>31.566666666666663</v>
      </c>
      <c r="Q14" s="56">
        <f t="shared" si="4"/>
        <v>0.28867513459481287</v>
      </c>
      <c r="R14" s="56">
        <v>81</v>
      </c>
      <c r="S14" s="56"/>
      <c r="T14" s="47">
        <f t="shared" si="5"/>
        <v>0.3144028471243086</v>
      </c>
      <c r="U14" s="6">
        <v>19.2</v>
      </c>
      <c r="V14" s="6">
        <v>19.3</v>
      </c>
      <c r="W14" s="6">
        <v>19.5</v>
      </c>
      <c r="X14" s="6">
        <f t="shared" si="61"/>
        <v>19.333333333333332</v>
      </c>
      <c r="Y14" s="6">
        <f t="shared" si="62"/>
        <v>0.15275252316519489</v>
      </c>
      <c r="Z14" s="6">
        <v>84.4</v>
      </c>
      <c r="AA14" s="6" t="s">
        <v>733</v>
      </c>
      <c r="AB14" s="6">
        <f t="shared" si="63"/>
        <v>1.5138636130983366E-6</v>
      </c>
      <c r="AC14" s="6">
        <v>16.399999999999999</v>
      </c>
      <c r="AD14" s="6">
        <v>16.7</v>
      </c>
      <c r="AE14" s="6">
        <v>17.399999999999999</v>
      </c>
      <c r="AF14" s="6">
        <f t="shared" si="64"/>
        <v>16.833333333333332</v>
      </c>
      <c r="AG14" s="6">
        <f t="shared" si="65"/>
        <v>0.51316014394468834</v>
      </c>
      <c r="AH14" s="6">
        <v>81.900000000000006</v>
      </c>
      <c r="AI14" s="54" t="s">
        <v>733</v>
      </c>
      <c r="AJ14" s="6">
        <f t="shared" si="66"/>
        <v>8.5637058129072089E-6</v>
      </c>
      <c r="AK14" s="47">
        <f t="shared" si="67"/>
        <v>0.15022110482233492</v>
      </c>
      <c r="AL14" s="47">
        <f t="shared" si="68"/>
        <v>0.84977889517766503</v>
      </c>
      <c r="AM14" s="6">
        <v>21.9</v>
      </c>
      <c r="AN14" s="6">
        <v>22.5</v>
      </c>
      <c r="AO14" s="6">
        <v>23.2</v>
      </c>
      <c r="AP14" s="6">
        <f>AVERAGE(AM14:AO14)</f>
        <v>22.533333333333331</v>
      </c>
      <c r="AQ14" s="6">
        <f t="shared" si="7"/>
        <v>0.65064070986477152</v>
      </c>
      <c r="AR14" s="6">
        <v>84.1</v>
      </c>
      <c r="AS14" s="6" t="s">
        <v>669</v>
      </c>
      <c r="AT14" s="6">
        <f t="shared" si="8"/>
        <v>164.7368526420328</v>
      </c>
      <c r="AU14" s="6">
        <f t="shared" si="9"/>
        <v>29.175119633862884</v>
      </c>
      <c r="AV14" s="47">
        <f t="shared" si="10"/>
        <v>194.21451911412862</v>
      </c>
      <c r="AW14" s="6">
        <v>19.100000000000001</v>
      </c>
      <c r="AX14" s="6">
        <v>19.5</v>
      </c>
      <c r="AY14" s="6">
        <v>20.100000000000001</v>
      </c>
      <c r="AZ14" s="6">
        <f t="shared" si="69"/>
        <v>19.566666666666666</v>
      </c>
      <c r="BA14" s="6">
        <f t="shared" si="11"/>
        <v>0.50332229568471676</v>
      </c>
      <c r="BB14" s="6">
        <v>88.3</v>
      </c>
      <c r="BC14" s="6" t="s">
        <v>688</v>
      </c>
      <c r="BD14" s="6">
        <f t="shared" si="12"/>
        <v>1287.7940618211646</v>
      </c>
      <c r="BE14" s="6">
        <f t="shared" si="13"/>
        <v>228.07007184392612</v>
      </c>
      <c r="BF14" s="47">
        <f t="shared" si="14"/>
        <v>1518.2292269362713</v>
      </c>
      <c r="BG14" s="6">
        <v>19.100000000000001</v>
      </c>
      <c r="BH14" s="6">
        <v>19.600000000000001</v>
      </c>
      <c r="BI14" s="6">
        <v>20.2</v>
      </c>
      <c r="BJ14" s="6">
        <f t="shared" si="15"/>
        <v>19.633333333333336</v>
      </c>
      <c r="BK14" s="6">
        <f t="shared" si="16"/>
        <v>0.55075705472860914</v>
      </c>
      <c r="BL14" s="6">
        <v>83.5</v>
      </c>
      <c r="BM14" s="6" t="s">
        <v>743</v>
      </c>
      <c r="BN14" s="6">
        <f t="shared" si="17"/>
        <v>1229.6393474956296</v>
      </c>
      <c r="BO14" s="6">
        <f t="shared" si="18"/>
        <v>217.77079320341812</v>
      </c>
      <c r="BP14" s="47">
        <f t="shared" si="19"/>
        <v>1449.6684301514995</v>
      </c>
      <c r="BQ14" s="6">
        <v>23.4</v>
      </c>
      <c r="BR14" s="6">
        <v>23.9</v>
      </c>
      <c r="BS14" s="6">
        <v>24.4</v>
      </c>
      <c r="BT14" s="6">
        <f t="shared" si="20"/>
        <v>23.899999999999995</v>
      </c>
      <c r="BU14" s="6">
        <f t="shared" si="21"/>
        <v>0.5</v>
      </c>
      <c r="BV14" s="6">
        <v>81.900000000000006</v>
      </c>
      <c r="BW14" s="6" t="s">
        <v>751</v>
      </c>
      <c r="BX14" s="6">
        <f t="shared" si="22"/>
        <v>63.882676514166342</v>
      </c>
      <c r="BY14" s="6">
        <f t="shared" si="23"/>
        <v>11.313708498984756</v>
      </c>
      <c r="BZ14" s="47">
        <f t="shared" si="24"/>
        <v>75.313708498984695</v>
      </c>
      <c r="CA14" s="6">
        <v>28.1</v>
      </c>
      <c r="CB14" s="6">
        <v>28.6</v>
      </c>
      <c r="CC14" s="6">
        <v>28.7</v>
      </c>
      <c r="CD14" s="6">
        <f t="shared" si="25"/>
        <v>28.466666666666669</v>
      </c>
      <c r="CE14" s="6">
        <f t="shared" si="26"/>
        <v>0.32145502536643106</v>
      </c>
      <c r="CF14" s="6">
        <v>83.4</v>
      </c>
      <c r="CG14" s="6" t="s">
        <v>685</v>
      </c>
      <c r="CH14" s="6">
        <f t="shared" si="27"/>
        <v>2.6957490247495013</v>
      </c>
      <c r="CI14" s="6">
        <f t="shared" si="70"/>
        <v>0.47742080195520598</v>
      </c>
      <c r="CJ14" s="47">
        <f t="shared" si="28"/>
        <v>3.1781206942915716</v>
      </c>
      <c r="CK14" s="6">
        <v>20.6</v>
      </c>
      <c r="CL14" s="6">
        <v>21.2</v>
      </c>
      <c r="CM14" s="6">
        <v>21.6</v>
      </c>
      <c r="CN14" s="6">
        <f t="shared" si="29"/>
        <v>21.133333333333333</v>
      </c>
      <c r="CO14" s="6">
        <f t="shared" si="30"/>
        <v>0.50332229568471654</v>
      </c>
      <c r="CP14" s="6">
        <v>82.2</v>
      </c>
      <c r="CR14" s="6">
        <f t="shared" si="31"/>
        <v>434.74316051398171</v>
      </c>
      <c r="CS14" s="6">
        <f t="shared" si="32"/>
        <v>76.993602309255323</v>
      </c>
      <c r="CT14" s="47">
        <f t="shared" si="33"/>
        <v>90.604276884469002</v>
      </c>
      <c r="CU14" s="6">
        <v>21.8</v>
      </c>
      <c r="CV14" s="6">
        <v>22.8</v>
      </c>
      <c r="CW14" s="6">
        <v>22.8</v>
      </c>
      <c r="CX14" s="6">
        <f t="shared" si="34"/>
        <v>22.466666666666669</v>
      </c>
      <c r="CY14" s="6">
        <f t="shared" si="35"/>
        <v>0.57735026918962584</v>
      </c>
      <c r="CZ14" s="6">
        <v>83.4</v>
      </c>
      <c r="DA14" s="6" t="s">
        <v>751</v>
      </c>
      <c r="DB14" s="6">
        <f t="shared" si="36"/>
        <v>172.52793758396817</v>
      </c>
      <c r="DC14" s="6">
        <f t="shared" si="37"/>
        <v>30.5549313251332</v>
      </c>
      <c r="DD14" s="47">
        <f t="shared" si="38"/>
        <v>35.956331109805944</v>
      </c>
      <c r="DE14" s="6">
        <v>21.1</v>
      </c>
      <c r="DF14" s="6">
        <v>21.4</v>
      </c>
      <c r="DG14" s="6">
        <v>21.7</v>
      </c>
      <c r="DH14" s="6">
        <f t="shared" si="39"/>
        <v>21.400000000000002</v>
      </c>
      <c r="DI14" s="6">
        <f t="shared" si="40"/>
        <v>0.29999999999999893</v>
      </c>
      <c r="DJ14" s="6">
        <v>81.5</v>
      </c>
      <c r="DL14" s="6">
        <f t="shared" si="41"/>
        <v>361.37499010810802</v>
      </c>
      <c r="DM14" s="6">
        <f t="shared" si="42"/>
        <v>1149.4011374687952</v>
      </c>
      <c r="DN14" s="46">
        <f t="shared" si="43"/>
        <v>1352.5884721207244</v>
      </c>
      <c r="DO14" s="6">
        <v>22.1</v>
      </c>
      <c r="DP14" s="6">
        <v>22</v>
      </c>
      <c r="DQ14" s="6">
        <v>22.4</v>
      </c>
      <c r="DR14" s="6">
        <f t="shared" si="44"/>
        <v>22.166666666666668</v>
      </c>
      <c r="DS14" s="6">
        <f t="shared" si="45"/>
        <v>0.20816659994661224</v>
      </c>
      <c r="DT14" s="6">
        <v>81.2</v>
      </c>
      <c r="DV14" s="6">
        <f t="shared" si="46"/>
        <v>212.40680650242302</v>
      </c>
      <c r="DW14" s="6">
        <f t="shared" si="47"/>
        <v>675.58805031572001</v>
      </c>
      <c r="DX14" s="47">
        <f t="shared" si="48"/>
        <v>795.0162732324311</v>
      </c>
      <c r="DY14" s="6">
        <v>22.1</v>
      </c>
      <c r="DZ14" s="6">
        <v>22.1</v>
      </c>
      <c r="EA14" s="6">
        <v>22.4</v>
      </c>
      <c r="EB14" s="6">
        <f t="shared" si="79"/>
        <v>22.2</v>
      </c>
      <c r="EC14" s="6">
        <f t="shared" si="49"/>
        <v>0.17320508075688609</v>
      </c>
      <c r="ED14" s="6">
        <v>83.7</v>
      </c>
      <c r="EF14" s="6">
        <f t="shared" si="50"/>
        <v>207.5554283371271</v>
      </c>
      <c r="EG14" s="7">
        <f t="shared" si="51"/>
        <v>36.758347359905073</v>
      </c>
      <c r="EH14" s="47">
        <f t="shared" si="52"/>
        <v>43.256366530754953</v>
      </c>
      <c r="EI14" s="6">
        <v>23.4</v>
      </c>
      <c r="EJ14" s="6">
        <v>23.6</v>
      </c>
      <c r="EK14" s="6">
        <v>23.6</v>
      </c>
      <c r="EL14" s="6">
        <f t="shared" si="75"/>
        <v>23.533333333333331</v>
      </c>
      <c r="EM14" s="6">
        <f t="shared" si="53"/>
        <v>0.1154700538379268</v>
      </c>
      <c r="EN14" s="6">
        <v>84.8</v>
      </c>
      <c r="EP14" s="6">
        <f t="shared" si="54"/>
        <v>82.368426321016386</v>
      </c>
      <c r="EQ14" s="6">
        <f t="shared" si="55"/>
        <v>261.983716351174</v>
      </c>
      <c r="ER14" s="47">
        <f t="shared" si="56"/>
        <v>308.29633194926606</v>
      </c>
      <c r="ES14" s="6">
        <v>21.8</v>
      </c>
      <c r="ET14" s="6">
        <v>21.8</v>
      </c>
      <c r="EU14" s="6">
        <v>22.1</v>
      </c>
      <c r="EV14" s="6">
        <f t="shared" si="76"/>
        <v>21.900000000000002</v>
      </c>
      <c r="EW14" s="6">
        <f t="shared" si="57"/>
        <v>0.17320508075688815</v>
      </c>
      <c r="EX14" s="6">
        <v>81.400000000000006</v>
      </c>
      <c r="EZ14" s="6">
        <f t="shared" si="58"/>
        <v>255.53070605666449</v>
      </c>
      <c r="FA14" s="6">
        <f t="shared" si="59"/>
        <v>812.74933860771546</v>
      </c>
      <c r="FB14" s="47">
        <f t="shared" si="60"/>
        <v>956.42448079131486</v>
      </c>
      <c r="FC14" s="6">
        <v>26.7</v>
      </c>
      <c r="FD14" s="6">
        <v>26.4</v>
      </c>
      <c r="FE14" s="6" t="s">
        <v>86</v>
      </c>
      <c r="FF14" s="6">
        <f t="shared" si="77"/>
        <v>26.549999999999997</v>
      </c>
      <c r="FG14" s="6">
        <f t="shared" si="71"/>
        <v>0.21213203435596475</v>
      </c>
      <c r="FH14" s="6">
        <v>79.400000000000006</v>
      </c>
      <c r="FI14" s="55" t="s">
        <v>824</v>
      </c>
      <c r="FJ14" s="12">
        <f t="shared" si="72"/>
        <v>10.177793031591161</v>
      </c>
      <c r="FK14" s="44"/>
      <c r="FL14" s="44"/>
      <c r="FM14" s="44"/>
      <c r="FN14" s="44"/>
      <c r="FO14" s="44"/>
      <c r="FP14" s="44"/>
      <c r="FQ14" s="44"/>
      <c r="FR14" s="44"/>
      <c r="FS14" s="44"/>
      <c r="FT14" s="6" t="s">
        <v>819</v>
      </c>
    </row>
    <row r="15" spans="1:176" s="7" customFormat="1">
      <c r="A15" s="7" t="s">
        <v>595</v>
      </c>
      <c r="B15" s="7" t="s">
        <v>634</v>
      </c>
      <c r="C15" s="7">
        <v>24</v>
      </c>
      <c r="E15" s="7">
        <v>26.8</v>
      </c>
      <c r="F15" s="7">
        <v>26.7</v>
      </c>
      <c r="G15" s="7">
        <v>27</v>
      </c>
      <c r="H15" s="7">
        <f t="shared" si="0"/>
        <v>26.833333333333332</v>
      </c>
      <c r="I15" s="7">
        <f t="shared" si="1"/>
        <v>0.15275252316519489</v>
      </c>
      <c r="J15" s="7">
        <v>81.3</v>
      </c>
      <c r="K15" s="7" t="s">
        <v>44</v>
      </c>
      <c r="L15" s="46">
        <f t="shared" si="2"/>
        <v>8.3629939579171886</v>
      </c>
      <c r="M15" s="57">
        <v>32.5</v>
      </c>
      <c r="N15" s="32">
        <v>31.7</v>
      </c>
      <c r="O15" s="32">
        <v>31</v>
      </c>
      <c r="P15" s="32">
        <f>AVERAGE(N15:O15)</f>
        <v>31.35</v>
      </c>
      <c r="Q15" s="32">
        <f t="shared" si="4"/>
        <v>0.75055534994651341</v>
      </c>
      <c r="R15" s="32">
        <v>81.099999999999994</v>
      </c>
      <c r="S15" s="32" t="s">
        <v>671</v>
      </c>
      <c r="T15" s="46">
        <f t="shared" si="5"/>
        <v>0.36535044102778275</v>
      </c>
      <c r="U15" s="7" t="s">
        <v>715</v>
      </c>
      <c r="X15" s="42"/>
      <c r="Y15" s="42"/>
      <c r="Z15" s="42"/>
      <c r="AA15" s="42"/>
      <c r="AB15" s="42"/>
      <c r="AC15" s="7" t="s">
        <v>715</v>
      </c>
      <c r="AF15" s="42"/>
      <c r="AG15" s="42"/>
      <c r="AH15" s="42"/>
      <c r="AI15" s="42"/>
      <c r="AJ15" s="42"/>
      <c r="AK15" s="46">
        <v>3.2000000000000001E-2</v>
      </c>
      <c r="AL15" s="46">
        <f>1-0.032</f>
        <v>0.96799999999999997</v>
      </c>
      <c r="AM15" s="7">
        <v>22.6</v>
      </c>
      <c r="AN15" s="7">
        <v>22.6</v>
      </c>
      <c r="AO15" s="7">
        <v>22.5</v>
      </c>
      <c r="AP15" s="7">
        <f t="shared" si="6"/>
        <v>22.566666666666666</v>
      </c>
      <c r="AQ15" s="7">
        <f t="shared" si="7"/>
        <v>5.77350269189634E-2</v>
      </c>
      <c r="AR15" s="7">
        <v>84.3</v>
      </c>
      <c r="AS15" s="7" t="s">
        <v>670</v>
      </c>
      <c r="AT15" s="7">
        <f t="shared" si="8"/>
        <v>160.97425772764586</v>
      </c>
      <c r="AU15" s="7">
        <f t="shared" si="9"/>
        <v>19.248400577313898</v>
      </c>
      <c r="AV15" s="46">
        <f t="shared" si="10"/>
        <v>601.51251804105925</v>
      </c>
      <c r="AW15" s="7">
        <v>19.5</v>
      </c>
      <c r="AX15" s="7">
        <v>19.399999999999999</v>
      </c>
      <c r="AY15" s="7">
        <v>19.3</v>
      </c>
      <c r="AZ15" s="7">
        <f t="shared" si="69"/>
        <v>19.400000000000002</v>
      </c>
      <c r="BA15" s="7">
        <f t="shared" si="11"/>
        <v>9.9999999999999645E-2</v>
      </c>
      <c r="BB15" s="7">
        <v>88.3</v>
      </c>
      <c r="BC15" s="7" t="s">
        <v>686</v>
      </c>
      <c r="BD15" s="7">
        <f t="shared" si="12"/>
        <v>1445.4999604324298</v>
      </c>
      <c r="BE15" s="7">
        <f t="shared" si="13"/>
        <v>172.84479310952807</v>
      </c>
      <c r="BF15" s="46">
        <f t="shared" si="14"/>
        <v>5401.3997846727525</v>
      </c>
      <c r="BG15" s="7">
        <v>19.3</v>
      </c>
      <c r="BH15" s="7">
        <v>19.600000000000001</v>
      </c>
      <c r="BI15" s="7">
        <v>19.3</v>
      </c>
      <c r="BJ15" s="7">
        <f t="shared" si="15"/>
        <v>19.400000000000002</v>
      </c>
      <c r="BK15" s="7">
        <f t="shared" si="16"/>
        <v>0.17320508075688815</v>
      </c>
      <c r="BL15" s="7">
        <v>83.8</v>
      </c>
      <c r="BM15" s="7" t="s">
        <v>743</v>
      </c>
      <c r="BN15" s="7">
        <f t="shared" si="17"/>
        <v>1445.4999604324298</v>
      </c>
      <c r="BO15" s="7">
        <f t="shared" si="18"/>
        <v>172.84479310952807</v>
      </c>
      <c r="BP15" s="46">
        <f t="shared" si="19"/>
        <v>5401.3997846727525</v>
      </c>
      <c r="BQ15" s="7">
        <v>23.9</v>
      </c>
      <c r="BR15" s="7">
        <v>23.8</v>
      </c>
      <c r="BS15" s="7">
        <v>23.7</v>
      </c>
      <c r="BT15" s="7">
        <f t="shared" si="20"/>
        <v>23.8</v>
      </c>
      <c r="BU15" s="7">
        <f t="shared" si="21"/>
        <v>9.9999999999999645E-2</v>
      </c>
      <c r="BV15" s="7">
        <v>81.900000000000006</v>
      </c>
      <c r="BX15" s="7">
        <f t="shared" si="22"/>
        <v>68.467757403673801</v>
      </c>
      <c r="BY15" s="7">
        <f t="shared" si="23"/>
        <v>8.186991135974198</v>
      </c>
      <c r="BZ15" s="46">
        <f t="shared" si="24"/>
        <v>255.84347299919369</v>
      </c>
      <c r="CA15" s="7">
        <v>28.9</v>
      </c>
      <c r="CB15" s="7">
        <v>28.5</v>
      </c>
      <c r="CC15" s="7">
        <v>28.6</v>
      </c>
      <c r="CD15" s="7">
        <f t="shared" si="25"/>
        <v>28.666666666666668</v>
      </c>
      <c r="CE15" s="7">
        <f t="shared" si="26"/>
        <v>0.20816659994661224</v>
      </c>
      <c r="CF15" s="7">
        <v>83.4</v>
      </c>
      <c r="CH15" s="7">
        <f t="shared" si="27"/>
        <v>2.3467858320006596</v>
      </c>
      <c r="CI15" s="7">
        <f t="shared" si="70"/>
        <v>0.28061551207734325</v>
      </c>
      <c r="CJ15" s="46">
        <f t="shared" si="28"/>
        <v>8.7692347524169758</v>
      </c>
      <c r="CK15" s="7">
        <v>20.7</v>
      </c>
      <c r="CL15" s="7">
        <v>20.5</v>
      </c>
      <c r="CM15" s="7">
        <v>20.399999999999999</v>
      </c>
      <c r="CN15" s="7">
        <f t="shared" si="29"/>
        <v>20.533333333333335</v>
      </c>
      <c r="CO15" s="7">
        <f t="shared" si="30"/>
        <v>0.15275252316519491</v>
      </c>
      <c r="CP15" s="7">
        <v>82.2</v>
      </c>
      <c r="CR15" s="7">
        <f t="shared" si="31"/>
        <v>658.94741056813007</v>
      </c>
      <c r="CS15" s="7">
        <f t="shared" si="32"/>
        <v>78.793242454074615</v>
      </c>
      <c r="CT15" s="46">
        <f t="shared" si="33"/>
        <v>81.397977741812625</v>
      </c>
      <c r="CU15" s="7">
        <v>22.2</v>
      </c>
      <c r="CV15" s="7">
        <v>21.6</v>
      </c>
      <c r="CW15" s="7">
        <v>21.6</v>
      </c>
      <c r="CX15" s="7">
        <f t="shared" si="34"/>
        <v>21.8</v>
      </c>
      <c r="CY15" s="7">
        <f t="shared" si="35"/>
        <v>0.34641016151377418</v>
      </c>
      <c r="CZ15" s="7">
        <v>83.4</v>
      </c>
      <c r="DA15" s="7" t="s">
        <v>745</v>
      </c>
      <c r="DB15" s="7">
        <f t="shared" si="36"/>
        <v>273.87102961469526</v>
      </c>
      <c r="DC15" s="7">
        <f t="shared" si="37"/>
        <v>32.747964543896799</v>
      </c>
      <c r="DD15" s="46">
        <f t="shared" si="38"/>
        <v>33.830541884190907</v>
      </c>
      <c r="DE15" s="7">
        <v>21.4</v>
      </c>
      <c r="DF15" s="7">
        <v>21.1</v>
      </c>
      <c r="DG15" s="7">
        <v>21</v>
      </c>
      <c r="DH15" s="7">
        <f t="shared" si="39"/>
        <v>21.166666666666668</v>
      </c>
      <c r="DI15" s="7">
        <f t="shared" si="40"/>
        <v>0.20816659994661224</v>
      </c>
      <c r="DJ15" s="7">
        <v>81.8</v>
      </c>
      <c r="DL15" s="7">
        <f t="shared" si="41"/>
        <v>424.81361300484605</v>
      </c>
      <c r="DM15" s="7">
        <f t="shared" si="42"/>
        <v>1162.7565353685764</v>
      </c>
      <c r="DN15" s="46">
        <f t="shared" si="43"/>
        <v>1201.1947679427442</v>
      </c>
      <c r="DO15" s="10">
        <v>22.7</v>
      </c>
      <c r="DP15" s="7">
        <v>21.9</v>
      </c>
      <c r="DQ15" s="7">
        <v>21.8</v>
      </c>
      <c r="DR15" s="7">
        <f>AVERAGE(DP15:DQ15)</f>
        <v>21.85</v>
      </c>
      <c r="DS15" s="7">
        <f t="shared" si="45"/>
        <v>0.49328828623162441</v>
      </c>
      <c r="DT15" s="7">
        <v>81.400000000000006</v>
      </c>
      <c r="DU15" s="7" t="s">
        <v>671</v>
      </c>
      <c r="DV15" s="7">
        <f t="shared" si="46"/>
        <v>264.5419769448863</v>
      </c>
      <c r="DW15" s="7">
        <f t="shared" si="47"/>
        <v>724.07734393502335</v>
      </c>
      <c r="DX15" s="46">
        <f t="shared" si="48"/>
        <v>748.01378505684238</v>
      </c>
      <c r="DY15" s="7">
        <v>22.4</v>
      </c>
      <c r="DZ15" s="7">
        <v>22</v>
      </c>
      <c r="EA15" s="7">
        <v>21.8</v>
      </c>
      <c r="EB15" s="7">
        <f t="shared" si="79"/>
        <v>22.066666666666666</v>
      </c>
      <c r="EC15" s="7">
        <f t="shared" si="49"/>
        <v>0.30550504633038827</v>
      </c>
      <c r="ED15" s="7">
        <v>83.9</v>
      </c>
      <c r="EF15" s="7">
        <f t="shared" si="50"/>
        <v>227.65197847137856</v>
      </c>
      <c r="EG15" s="7">
        <f t="shared" si="51"/>
        <v>27.2213491504274</v>
      </c>
      <c r="EH15" s="46">
        <f t="shared" si="52"/>
        <v>28.121228461185332</v>
      </c>
      <c r="EI15" s="7">
        <v>23</v>
      </c>
      <c r="EJ15" s="7">
        <v>23.2</v>
      </c>
      <c r="EK15" s="7">
        <v>23</v>
      </c>
      <c r="EL15" s="7">
        <f t="shared" si="75"/>
        <v>23.066666666666666</v>
      </c>
      <c r="EM15" s="7">
        <f t="shared" si="53"/>
        <v>0.11547005383792475</v>
      </c>
      <c r="EN15" s="7">
        <v>85</v>
      </c>
      <c r="EP15" s="7">
        <f t="shared" si="54"/>
        <v>113.82598923568928</v>
      </c>
      <c r="EQ15" s="7">
        <f t="shared" si="55"/>
        <v>311.55289949967101</v>
      </c>
      <c r="ER15" s="46">
        <f t="shared" si="56"/>
        <v>321.85216890461885</v>
      </c>
      <c r="ES15" s="7">
        <v>23.6</v>
      </c>
      <c r="ET15" s="7">
        <v>23.6</v>
      </c>
      <c r="EU15" s="7">
        <v>23.5</v>
      </c>
      <c r="EV15" s="7">
        <f t="shared" si="76"/>
        <v>23.566666666666666</v>
      </c>
      <c r="EW15" s="7">
        <f t="shared" si="57"/>
        <v>5.77350269189634E-2</v>
      </c>
      <c r="EX15" s="7">
        <v>81.599999999999994</v>
      </c>
      <c r="EZ15" s="7">
        <f t="shared" si="58"/>
        <v>80.487128863822775</v>
      </c>
      <c r="FA15" s="7">
        <f t="shared" si="59"/>
        <v>220.30116793454809</v>
      </c>
      <c r="FB15" s="46">
        <f t="shared" si="60"/>
        <v>227.58385117205381</v>
      </c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</row>
    <row r="16" spans="1:176" s="7" customFormat="1">
      <c r="A16" s="7" t="s">
        <v>596</v>
      </c>
      <c r="B16" s="7" t="s">
        <v>634</v>
      </c>
      <c r="C16" s="7">
        <v>24</v>
      </c>
      <c r="E16" s="7">
        <v>23.6</v>
      </c>
      <c r="F16" s="7">
        <v>24.1</v>
      </c>
      <c r="G16" s="7">
        <v>23.8</v>
      </c>
      <c r="H16" s="7">
        <f t="shared" si="0"/>
        <v>23.833333333333332</v>
      </c>
      <c r="I16" s="7">
        <f t="shared" si="1"/>
        <v>0.25166114784235838</v>
      </c>
      <c r="J16" s="7">
        <v>81.2</v>
      </c>
      <c r="K16" s="7" t="s">
        <v>650</v>
      </c>
      <c r="L16" s="48">
        <f t="shared" si="2"/>
        <v>66.903951663337651</v>
      </c>
      <c r="M16" s="32">
        <v>30.9</v>
      </c>
      <c r="N16" s="32">
        <v>31.1</v>
      </c>
      <c r="O16" s="32">
        <v>31.3</v>
      </c>
      <c r="P16" s="32">
        <f t="shared" si="3"/>
        <v>31.099999999999998</v>
      </c>
      <c r="Q16" s="32">
        <f t="shared" si="4"/>
        <v>0.20000000000000107</v>
      </c>
      <c r="R16" s="32">
        <v>81.400000000000006</v>
      </c>
      <c r="S16" s="57"/>
      <c r="T16" s="46">
        <f t="shared" si="5"/>
        <v>0.43447734393962145</v>
      </c>
      <c r="U16" s="7" t="s">
        <v>715</v>
      </c>
      <c r="V16" s="10"/>
      <c r="W16" s="10"/>
      <c r="X16" s="42"/>
      <c r="Y16" s="42"/>
      <c r="Z16" s="43"/>
      <c r="AA16" s="43"/>
      <c r="AB16" s="42"/>
      <c r="AC16" s="7" t="s">
        <v>715</v>
      </c>
      <c r="AD16" s="10"/>
      <c r="AE16" s="10"/>
      <c r="AF16" s="42"/>
      <c r="AG16" s="42"/>
      <c r="AH16" s="43"/>
      <c r="AI16" s="43"/>
      <c r="AJ16" s="42"/>
      <c r="AK16" s="46">
        <v>2.7E-2</v>
      </c>
      <c r="AL16" s="46">
        <f t="shared" ref="AL16:AL17" si="80">1-0.032</f>
        <v>0.96799999999999997</v>
      </c>
      <c r="AM16" s="7">
        <v>21.5</v>
      </c>
      <c r="AN16" s="7">
        <v>21.9</v>
      </c>
      <c r="AO16" s="7">
        <v>21.7</v>
      </c>
      <c r="AP16" s="7">
        <f t="shared" si="6"/>
        <v>21.7</v>
      </c>
      <c r="AQ16" s="7">
        <f t="shared" si="7"/>
        <v>0.19999999999999929</v>
      </c>
      <c r="AR16" s="7">
        <v>84.3</v>
      </c>
      <c r="AS16" s="7" t="s">
        <v>669</v>
      </c>
      <c r="AT16" s="7">
        <f t="shared" si="8"/>
        <v>293.52770169852192</v>
      </c>
      <c r="AU16" s="7">
        <f t="shared" si="9"/>
        <v>4.3872999187784991</v>
      </c>
      <c r="AV16" s="46">
        <f t="shared" si="10"/>
        <v>162.49258958438887</v>
      </c>
      <c r="AW16" s="7">
        <v>18.7</v>
      </c>
      <c r="AX16" s="7">
        <v>18.899999999999999</v>
      </c>
      <c r="AY16" s="7">
        <v>18.899999999999999</v>
      </c>
      <c r="AZ16" s="7">
        <f t="shared" si="69"/>
        <v>18.833333333333332</v>
      </c>
      <c r="BA16" s="7">
        <f t="shared" si="11"/>
        <v>0.11547005383792475</v>
      </c>
      <c r="BB16" s="7">
        <v>88.3</v>
      </c>
      <c r="BC16" s="7" t="s">
        <v>686</v>
      </c>
      <c r="BD16" s="7">
        <f t="shared" si="12"/>
        <v>2140.9264532268016</v>
      </c>
      <c r="BE16" s="7">
        <f t="shared" si="13"/>
        <v>31.999999999999954</v>
      </c>
      <c r="BF16" s="46">
        <f t="shared" si="14"/>
        <v>1185.1851851851834</v>
      </c>
      <c r="BG16" s="7">
        <v>18.8</v>
      </c>
      <c r="BH16" s="7">
        <v>19.5</v>
      </c>
      <c r="BI16" s="7">
        <v>18.899999999999999</v>
      </c>
      <c r="BJ16" s="7">
        <f t="shared" si="15"/>
        <v>19.066666666666666</v>
      </c>
      <c r="BK16" s="7">
        <f t="shared" si="16"/>
        <v>0.37859388972001834</v>
      </c>
      <c r="BL16" s="7">
        <v>83.7</v>
      </c>
      <c r="BM16" s="7" t="s">
        <v>743</v>
      </c>
      <c r="BN16" s="7">
        <f t="shared" si="17"/>
        <v>1821.2158277710289</v>
      </c>
      <c r="BO16" s="7">
        <f t="shared" si="18"/>
        <v>27.221349150427351</v>
      </c>
      <c r="BP16" s="46">
        <f t="shared" si="19"/>
        <v>1008.1981166824945</v>
      </c>
      <c r="BQ16" s="7">
        <v>23.4</v>
      </c>
      <c r="BR16" s="7">
        <v>23.9</v>
      </c>
      <c r="BS16" s="7">
        <v>23.7</v>
      </c>
      <c r="BT16" s="7">
        <f t="shared" si="20"/>
        <v>23.666666666666668</v>
      </c>
      <c r="BU16" s="7">
        <f t="shared" si="21"/>
        <v>0.25166114784235838</v>
      </c>
      <c r="BV16" s="7">
        <v>81.900000000000006</v>
      </c>
      <c r="BX16" s="7">
        <f t="shared" si="22"/>
        <v>75.097146624021022</v>
      </c>
      <c r="BY16" s="7">
        <f t="shared" si="23"/>
        <v>1.1224620483093695</v>
      </c>
      <c r="BZ16" s="46">
        <f t="shared" si="24"/>
        <v>41.572668455902573</v>
      </c>
      <c r="CA16" s="7">
        <v>27.7</v>
      </c>
      <c r="CB16" s="7">
        <v>27.8</v>
      </c>
      <c r="CC16" s="7">
        <v>27.6</v>
      </c>
      <c r="CD16" s="7">
        <f t="shared" si="25"/>
        <v>27.7</v>
      </c>
      <c r="CE16" s="7">
        <f t="shared" si="26"/>
        <v>9.9999999999999645E-2</v>
      </c>
      <c r="CF16" s="7">
        <v>83.5</v>
      </c>
      <c r="CG16" s="7" t="s">
        <v>685</v>
      </c>
      <c r="CH16" s="7">
        <f t="shared" si="27"/>
        <v>4.5863703390394024</v>
      </c>
      <c r="CI16" s="7">
        <f t="shared" si="70"/>
        <v>6.8551561230914007E-2</v>
      </c>
      <c r="CJ16" s="46">
        <f t="shared" si="28"/>
        <v>2.5389467122560743</v>
      </c>
      <c r="CK16" s="7">
        <v>18.8</v>
      </c>
      <c r="CL16" s="7">
        <v>18.899999999999999</v>
      </c>
      <c r="CM16" s="7">
        <v>18.8</v>
      </c>
      <c r="CN16" s="7">
        <f t="shared" si="29"/>
        <v>18.833333333333332</v>
      </c>
      <c r="CO16" s="7">
        <f t="shared" si="30"/>
        <v>5.7735026918961346E-2</v>
      </c>
      <c r="CP16" s="7">
        <v>82.2</v>
      </c>
      <c r="CQ16" s="7" t="s">
        <v>685</v>
      </c>
      <c r="CR16" s="7">
        <f t="shared" si="31"/>
        <v>2140.9264532268016</v>
      </c>
      <c r="CS16" s="7">
        <f t="shared" si="32"/>
        <v>31.999999999999954</v>
      </c>
      <c r="CT16" s="46">
        <f t="shared" si="33"/>
        <v>33.057851239669375</v>
      </c>
      <c r="CU16" s="7">
        <v>20.399999999999999</v>
      </c>
      <c r="CV16" s="7">
        <v>20.9</v>
      </c>
      <c r="CW16" s="7">
        <v>20.8</v>
      </c>
      <c r="CX16" s="7">
        <f t="shared" si="34"/>
        <v>20.7</v>
      </c>
      <c r="CY16" s="7">
        <f t="shared" si="35"/>
        <v>0.26457513110645947</v>
      </c>
      <c r="CZ16" s="7">
        <v>83.4</v>
      </c>
      <c r="DA16" s="7" t="s">
        <v>745</v>
      </c>
      <c r="DB16" s="7">
        <f t="shared" si="36"/>
        <v>587.05540339704396</v>
      </c>
      <c r="DC16" s="7">
        <f t="shared" si="37"/>
        <v>8.774599837557</v>
      </c>
      <c r="DD16" s="46">
        <f t="shared" si="38"/>
        <v>9.0646692536745874</v>
      </c>
      <c r="DE16" s="7">
        <v>21.7</v>
      </c>
      <c r="DF16" s="7">
        <v>21.6</v>
      </c>
      <c r="DG16" s="7">
        <v>21.6</v>
      </c>
      <c r="DH16" s="7">
        <f t="shared" si="39"/>
        <v>21.633333333333336</v>
      </c>
      <c r="DI16" s="7">
        <f t="shared" si="40"/>
        <v>5.7735026918961339E-2</v>
      </c>
      <c r="DJ16" s="7">
        <v>82.1</v>
      </c>
      <c r="DL16" s="7">
        <f t="shared" si="41"/>
        <v>307.40983687390735</v>
      </c>
      <c r="DM16" s="7">
        <f t="shared" si="42"/>
        <v>707.53939454349904</v>
      </c>
      <c r="DN16" s="46">
        <f t="shared" si="43"/>
        <v>730.92912659452384</v>
      </c>
      <c r="DO16" s="7">
        <v>22.7</v>
      </c>
      <c r="DP16" s="7">
        <v>22.6</v>
      </c>
      <c r="DQ16" s="7">
        <v>22.8</v>
      </c>
      <c r="DR16" s="7">
        <f t="shared" si="44"/>
        <v>22.7</v>
      </c>
      <c r="DS16" s="7">
        <f t="shared" si="45"/>
        <v>9.9999999999999645E-2</v>
      </c>
      <c r="DT16" s="7">
        <v>81.599999999999994</v>
      </c>
      <c r="DV16" s="7">
        <f t="shared" si="46"/>
        <v>146.76385084926093</v>
      </c>
      <c r="DW16" s="7">
        <f t="shared" si="47"/>
        <v>337.79402515786057</v>
      </c>
      <c r="DX16" s="46">
        <f t="shared" si="48"/>
        <v>348.96076979117828</v>
      </c>
      <c r="DY16" s="7">
        <v>22.4</v>
      </c>
      <c r="DZ16" s="7">
        <v>22.2</v>
      </c>
      <c r="EA16" s="7">
        <v>22.1</v>
      </c>
      <c r="EB16" s="7">
        <f t="shared" si="79"/>
        <v>22.233333333333331</v>
      </c>
      <c r="EC16" s="7">
        <f t="shared" si="49"/>
        <v>0.15275252316519336</v>
      </c>
      <c r="ED16" s="7">
        <v>84</v>
      </c>
      <c r="EF16" s="7">
        <f t="shared" si="50"/>
        <v>202.81485580226357</v>
      </c>
      <c r="EG16" s="7">
        <f t="shared" si="51"/>
        <v>3.0314331330207964</v>
      </c>
      <c r="EH16" s="46">
        <f t="shared" si="52"/>
        <v>3.1316457985752031</v>
      </c>
      <c r="EI16" s="7">
        <v>21.1</v>
      </c>
      <c r="EJ16" s="7">
        <v>21.1</v>
      </c>
      <c r="EK16" s="7">
        <v>21.1</v>
      </c>
      <c r="EL16" s="7">
        <f t="shared" si="75"/>
        <v>21.1</v>
      </c>
      <c r="EM16" s="7">
        <f t="shared" si="53"/>
        <v>0</v>
      </c>
      <c r="EN16" s="7">
        <v>85.2</v>
      </c>
      <c r="EP16" s="7">
        <f t="shared" si="54"/>
        <v>444.90480019417117</v>
      </c>
      <c r="EQ16" s="7">
        <f t="shared" si="55"/>
        <v>1023.9999999999973</v>
      </c>
      <c r="ER16" s="46">
        <f t="shared" si="56"/>
        <v>1057.8512396694186</v>
      </c>
      <c r="ES16" s="7">
        <v>22.5</v>
      </c>
      <c r="ET16" s="7">
        <v>22.4</v>
      </c>
      <c r="EU16" s="7">
        <v>22.4</v>
      </c>
      <c r="EV16" s="7">
        <f t="shared" si="76"/>
        <v>22.433333333333334</v>
      </c>
      <c r="EW16" s="7">
        <f t="shared" si="57"/>
        <v>5.77350269189634E-2</v>
      </c>
      <c r="EX16" s="7">
        <v>81.7</v>
      </c>
      <c r="EZ16" s="7">
        <f t="shared" si="58"/>
        <v>176.56058696348242</v>
      </c>
      <c r="FA16" s="7">
        <f t="shared" si="59"/>
        <v>406.37466930385841</v>
      </c>
      <c r="FB16" s="46">
        <f t="shared" si="60"/>
        <v>419.80854266927525</v>
      </c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</row>
    <row r="17" spans="1:176" s="7" customFormat="1">
      <c r="A17" s="7" t="s">
        <v>597</v>
      </c>
      <c r="B17" s="7" t="s">
        <v>634</v>
      </c>
      <c r="C17" s="7">
        <v>24</v>
      </c>
      <c r="E17" s="7">
        <v>26.6</v>
      </c>
      <c r="F17" s="7">
        <v>26.7</v>
      </c>
      <c r="G17" s="7">
        <v>26.5</v>
      </c>
      <c r="H17" s="7">
        <f t="shared" si="0"/>
        <v>26.599999999999998</v>
      </c>
      <c r="I17" s="7">
        <f t="shared" si="1"/>
        <v>9.9999999999999645E-2</v>
      </c>
      <c r="J17" s="7">
        <v>81.3</v>
      </c>
      <c r="K17" s="7" t="s">
        <v>44</v>
      </c>
      <c r="L17" s="46">
        <f t="shared" si="2"/>
        <v>9.8311000374920532</v>
      </c>
      <c r="M17" s="32">
        <v>31.3</v>
      </c>
      <c r="N17" s="32">
        <v>31.8</v>
      </c>
      <c r="O17" s="32">
        <v>31.5</v>
      </c>
      <c r="P17" s="32">
        <f t="shared" si="3"/>
        <v>31.533333333333331</v>
      </c>
      <c r="Q17" s="32">
        <f t="shared" si="4"/>
        <v>0.25166114784235838</v>
      </c>
      <c r="R17" s="32">
        <v>81.400000000000006</v>
      </c>
      <c r="S17" s="32"/>
      <c r="T17" s="46">
        <f t="shared" si="5"/>
        <v>0.3217516653164712</v>
      </c>
      <c r="U17" s="7" t="s">
        <v>715</v>
      </c>
      <c r="X17" s="42"/>
      <c r="Y17" s="42"/>
      <c r="Z17" s="42"/>
      <c r="AA17" s="42"/>
      <c r="AB17" s="42"/>
      <c r="AC17" s="7" t="s">
        <v>715</v>
      </c>
      <c r="AF17" s="42"/>
      <c r="AG17" s="42"/>
      <c r="AH17" s="42"/>
      <c r="AI17" s="42"/>
      <c r="AJ17" s="42"/>
      <c r="AK17" s="46">
        <v>6.3E-2</v>
      </c>
      <c r="AL17" s="46">
        <f t="shared" si="80"/>
        <v>0.96799999999999997</v>
      </c>
      <c r="AM17" s="7">
        <v>24.6</v>
      </c>
      <c r="AN17" s="7">
        <v>24.6</v>
      </c>
      <c r="AO17" s="7">
        <v>23.7</v>
      </c>
      <c r="AP17" s="7">
        <f t="shared" si="6"/>
        <v>24.3</v>
      </c>
      <c r="AQ17" s="7">
        <f t="shared" si="7"/>
        <v>0.51961524227066447</v>
      </c>
      <c r="AR17" s="7">
        <v>84.3</v>
      </c>
      <c r="AS17" s="7" t="s">
        <v>669</v>
      </c>
      <c r="AT17" s="7">
        <f t="shared" si="8"/>
        <v>48.414015552773144</v>
      </c>
      <c r="AU17" s="7">
        <f t="shared" si="9"/>
        <v>4.9245776533796439</v>
      </c>
      <c r="AV17" s="46">
        <f t="shared" si="10"/>
        <v>78.167899259994343</v>
      </c>
      <c r="AW17" s="7">
        <v>21.2</v>
      </c>
      <c r="AX17" s="7">
        <v>21.4</v>
      </c>
      <c r="AY17" s="7">
        <v>20.8</v>
      </c>
      <c r="AZ17" s="7">
        <f t="shared" si="69"/>
        <v>21.133333333333329</v>
      </c>
      <c r="BA17" s="7">
        <f t="shared" si="11"/>
        <v>0.30550504633038827</v>
      </c>
      <c r="BB17" s="7">
        <v>88.3</v>
      </c>
      <c r="BC17" s="7" t="s">
        <v>686</v>
      </c>
      <c r="BD17" s="7">
        <f t="shared" si="12"/>
        <v>434.7431605139825</v>
      </c>
      <c r="BE17" s="7">
        <f t="shared" si="13"/>
        <v>44.221212158968832</v>
      </c>
      <c r="BF17" s="46">
        <f t="shared" si="14"/>
        <v>701.92400252331481</v>
      </c>
      <c r="BG17" s="7">
        <v>21.4</v>
      </c>
      <c r="BH17" s="7">
        <v>21.7</v>
      </c>
      <c r="BI17" s="7">
        <v>21</v>
      </c>
      <c r="BJ17" s="7">
        <f t="shared" si="15"/>
        <v>21.366666666666664</v>
      </c>
      <c r="BK17" s="7">
        <f t="shared" si="16"/>
        <v>0.35118845842842422</v>
      </c>
      <c r="BL17" s="7">
        <v>83.7</v>
      </c>
      <c r="BM17" s="7" t="s">
        <v>743</v>
      </c>
      <c r="BN17" s="7">
        <f t="shared" si="17"/>
        <v>369.82173009723175</v>
      </c>
      <c r="BO17" s="7">
        <f t="shared" si="18"/>
        <v>37.617533001075486</v>
      </c>
      <c r="BP17" s="46">
        <f t="shared" si="19"/>
        <v>597.10369842976957</v>
      </c>
      <c r="BQ17" s="7">
        <v>26.1</v>
      </c>
      <c r="BR17" s="7">
        <v>26.5</v>
      </c>
      <c r="BS17" s="7">
        <v>25.4</v>
      </c>
      <c r="BT17" s="7">
        <f t="shared" si="20"/>
        <v>26</v>
      </c>
      <c r="BU17" s="7">
        <f t="shared" si="21"/>
        <v>0.55677643628300311</v>
      </c>
      <c r="BV17" s="7">
        <v>82.1</v>
      </c>
      <c r="BW17" s="7" t="s">
        <v>751</v>
      </c>
      <c r="BX17" s="7">
        <f t="shared" si="22"/>
        <v>14.901161193847656</v>
      </c>
      <c r="BY17" s="7">
        <f t="shared" si="23"/>
        <v>1.5157165665103935</v>
      </c>
      <c r="BZ17" s="46">
        <f t="shared" si="24"/>
        <v>24.058993119212595</v>
      </c>
      <c r="CA17" s="7">
        <v>30.2</v>
      </c>
      <c r="CB17" s="7">
        <v>30.2</v>
      </c>
      <c r="CC17" s="7">
        <v>29.5</v>
      </c>
      <c r="CD17" s="7">
        <f t="shared" si="25"/>
        <v>29.966666666666669</v>
      </c>
      <c r="CE17" s="7">
        <f t="shared" si="26"/>
        <v>0.40414518843273761</v>
      </c>
      <c r="CF17" s="7">
        <v>83.5</v>
      </c>
      <c r="CG17" s="7" t="s">
        <v>685</v>
      </c>
      <c r="CH17" s="7">
        <f t="shared" si="27"/>
        <v>0.95309120788869783</v>
      </c>
      <c r="CI17" s="7">
        <f t="shared" si="70"/>
        <v>9.6946547614607997E-2</v>
      </c>
      <c r="CJ17" s="46">
        <f t="shared" si="28"/>
        <v>1.5388340891207619</v>
      </c>
      <c r="CK17" s="7">
        <v>20.8</v>
      </c>
      <c r="CL17" s="7">
        <v>20.6</v>
      </c>
      <c r="CM17" s="7">
        <v>20.2</v>
      </c>
      <c r="CN17" s="7">
        <f t="shared" si="29"/>
        <v>20.533333333333335</v>
      </c>
      <c r="CO17" s="7">
        <f t="shared" si="30"/>
        <v>0.30550504633039016</v>
      </c>
      <c r="CP17" s="7">
        <v>82.4</v>
      </c>
      <c r="CR17" s="7">
        <f t="shared" si="31"/>
        <v>658.94741056813007</v>
      </c>
      <c r="CS17" s="7">
        <f t="shared" si="32"/>
        <v>67.026823860519869</v>
      </c>
      <c r="CT17" s="46">
        <f t="shared" si="33"/>
        <v>69.242586632768464</v>
      </c>
      <c r="CU17" s="7">
        <v>21.5</v>
      </c>
      <c r="CV17" s="7">
        <v>21.7</v>
      </c>
      <c r="CW17" s="7">
        <v>21.2</v>
      </c>
      <c r="CX17" s="7">
        <f t="shared" si="34"/>
        <v>21.466666666666669</v>
      </c>
      <c r="CY17" s="7">
        <f t="shared" si="35"/>
        <v>0.25166114784235838</v>
      </c>
      <c r="CZ17" s="7">
        <v>83.4</v>
      </c>
      <c r="DA17" s="7" t="s">
        <v>745</v>
      </c>
      <c r="DB17" s="7">
        <f t="shared" si="36"/>
        <v>345.05587516793639</v>
      </c>
      <c r="DC17" s="7">
        <f t="shared" si="37"/>
        <v>35.098399350227879</v>
      </c>
      <c r="DD17" s="46">
        <f t="shared" si="38"/>
        <v>36.258677014698222</v>
      </c>
      <c r="DE17" s="7">
        <v>20.2</v>
      </c>
      <c r="DF17" s="7">
        <v>20.2</v>
      </c>
      <c r="DG17" s="7">
        <v>20.5</v>
      </c>
      <c r="DH17" s="7">
        <f t="shared" si="39"/>
        <v>20.3</v>
      </c>
      <c r="DI17" s="7">
        <f t="shared" si="40"/>
        <v>0.17320508075688815</v>
      </c>
      <c r="DJ17" s="7">
        <v>82</v>
      </c>
      <c r="DL17" s="7">
        <f t="shared" si="41"/>
        <v>774.62424884437064</v>
      </c>
      <c r="DM17" s="7">
        <f t="shared" si="42"/>
        <v>2407.5221120688193</v>
      </c>
      <c r="DN17" s="46">
        <f t="shared" si="43"/>
        <v>2487.1096199058052</v>
      </c>
      <c r="DO17" s="7">
        <v>21.6</v>
      </c>
      <c r="DP17" s="7">
        <v>21.5</v>
      </c>
      <c r="DQ17" s="10">
        <v>26</v>
      </c>
      <c r="DR17" s="7">
        <f>AVERAGE(DO17:DP17)</f>
        <v>21.55</v>
      </c>
      <c r="DS17" s="7">
        <f t="shared" si="45"/>
        <v>2.569695182961071</v>
      </c>
      <c r="DT17" s="7">
        <v>81.599999999999994</v>
      </c>
      <c r="DU17" s="7" t="s">
        <v>671</v>
      </c>
      <c r="DV17" s="7">
        <f t="shared" si="46"/>
        <v>325.6893770109167</v>
      </c>
      <c r="DW17" s="7">
        <f t="shared" si="47"/>
        <v>1012.2383568413621</v>
      </c>
      <c r="DX17" s="46">
        <f t="shared" si="48"/>
        <v>1045.7007818609113</v>
      </c>
      <c r="DY17" s="7">
        <v>21.7</v>
      </c>
      <c r="DZ17" s="7">
        <v>21.5</v>
      </c>
      <c r="EA17" s="7">
        <v>21.5</v>
      </c>
      <c r="EB17" s="7">
        <f t="shared" si="79"/>
        <v>21.566666666666666</v>
      </c>
      <c r="EC17" s="7">
        <f t="shared" si="49"/>
        <v>0.11547005383792475</v>
      </c>
      <c r="ED17" s="7">
        <v>84</v>
      </c>
      <c r="EF17" s="7">
        <f t="shared" si="50"/>
        <v>321.94851545529173</v>
      </c>
      <c r="EG17" s="7">
        <f t="shared" si="51"/>
        <v>32.747964543896742</v>
      </c>
      <c r="EH17" s="46">
        <f t="shared" si="52"/>
        <v>33.830541884190851</v>
      </c>
      <c r="EI17" s="7" t="s">
        <v>86</v>
      </c>
      <c r="EJ17" s="7" t="s">
        <v>86</v>
      </c>
      <c r="EK17" s="7" t="s">
        <v>86</v>
      </c>
      <c r="EO17" s="7" t="s">
        <v>18</v>
      </c>
      <c r="EP17" s="7" t="s">
        <v>927</v>
      </c>
      <c r="EQ17" s="7" t="s">
        <v>86</v>
      </c>
      <c r="ER17" s="46"/>
      <c r="ES17" s="7">
        <v>23</v>
      </c>
      <c r="ET17" s="7">
        <v>23</v>
      </c>
      <c r="EU17" s="10">
        <v>24.3</v>
      </c>
      <c r="EV17" s="7">
        <f>AVERAGE(ES17:ET17)</f>
        <v>23</v>
      </c>
      <c r="EW17" s="7">
        <f t="shared" si="57"/>
        <v>0.75055534994651385</v>
      </c>
      <c r="EX17" s="7">
        <v>81.900000000000006</v>
      </c>
      <c r="EY17" s="7" t="s">
        <v>671</v>
      </c>
      <c r="EZ17" s="7">
        <f t="shared" si="58"/>
        <v>119.20928955078125</v>
      </c>
      <c r="FA17" s="7">
        <f t="shared" si="59"/>
        <v>370.50092478473539</v>
      </c>
      <c r="FB17" s="46">
        <f t="shared" si="60"/>
        <v>382.74888924042915</v>
      </c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</row>
    <row r="18" spans="1:176" s="6" customFormat="1">
      <c r="A18" s="6" t="s">
        <v>598</v>
      </c>
      <c r="B18" s="6" t="s">
        <v>635</v>
      </c>
      <c r="C18" s="6">
        <v>24</v>
      </c>
      <c r="E18" s="6">
        <v>26.6</v>
      </c>
      <c r="F18" s="6">
        <v>27.3</v>
      </c>
      <c r="G18" s="6">
        <v>27.5</v>
      </c>
      <c r="H18" s="6">
        <f t="shared" si="0"/>
        <v>27.133333333333336</v>
      </c>
      <c r="I18" s="6">
        <f t="shared" si="1"/>
        <v>0.47258156262526019</v>
      </c>
      <c r="J18" s="6">
        <v>81.3</v>
      </c>
      <c r="K18" s="6" t="s">
        <v>44</v>
      </c>
      <c r="L18" s="47">
        <f t="shared" si="2"/>
        <v>6.7928618830309375</v>
      </c>
      <c r="M18" s="59">
        <v>32.4</v>
      </c>
      <c r="N18" s="56">
        <v>31.4</v>
      </c>
      <c r="O18" s="56">
        <v>31.3</v>
      </c>
      <c r="P18" s="56">
        <f>AVERAGE(N18:O18)</f>
        <v>31.35</v>
      </c>
      <c r="Q18" s="56">
        <f t="shared" si="4"/>
        <v>0.60827625302982125</v>
      </c>
      <c r="R18" s="56">
        <v>81</v>
      </c>
      <c r="S18" s="56" t="s">
        <v>671</v>
      </c>
      <c r="T18" s="47">
        <f t="shared" si="5"/>
        <v>0.36535044102778275</v>
      </c>
      <c r="U18" s="6">
        <v>19.7</v>
      </c>
      <c r="V18" s="6">
        <v>19.7</v>
      </c>
      <c r="W18" s="6">
        <v>20</v>
      </c>
      <c r="X18" s="6">
        <f t="shared" si="61"/>
        <v>19.8</v>
      </c>
      <c r="Y18" s="6">
        <f t="shared" si="62"/>
        <v>0.17320508075688815</v>
      </c>
      <c r="Z18" s="6">
        <v>84.7</v>
      </c>
      <c r="AA18" s="6" t="s">
        <v>733</v>
      </c>
      <c r="AB18" s="6">
        <f t="shared" si="63"/>
        <v>1.0954841184587813E-6</v>
      </c>
      <c r="AC18" s="6" t="s">
        <v>715</v>
      </c>
      <c r="AI18" s="6" t="s">
        <v>735</v>
      </c>
      <c r="AK18" s="47">
        <f>0.051</f>
        <v>5.0999999999999997E-2</v>
      </c>
      <c r="AL18" s="47">
        <f>1-0.051</f>
        <v>0.94899999999999995</v>
      </c>
      <c r="AM18" s="6">
        <v>22.4</v>
      </c>
      <c r="AN18" s="6">
        <v>22.7</v>
      </c>
      <c r="AO18" s="6">
        <v>23.2</v>
      </c>
      <c r="AP18" s="6">
        <f t="shared" si="6"/>
        <v>22.766666666666666</v>
      </c>
      <c r="AQ18" s="6">
        <f t="shared" si="7"/>
        <v>0.40414518843273839</v>
      </c>
      <c r="AR18" s="6">
        <v>84.3</v>
      </c>
      <c r="AS18" s="6" t="s">
        <v>670</v>
      </c>
      <c r="AT18" s="6">
        <f t="shared" si="8"/>
        <v>140.13623074097757</v>
      </c>
      <c r="AU18" s="6">
        <f t="shared" si="9"/>
        <v>20.629924935033355</v>
      </c>
      <c r="AV18" s="47">
        <f t="shared" si="10"/>
        <v>404.5083320594776</v>
      </c>
      <c r="AW18" s="6">
        <v>19</v>
      </c>
      <c r="AX18" s="6">
        <v>19.600000000000001</v>
      </c>
      <c r="AY18" s="6">
        <v>19.8</v>
      </c>
      <c r="AZ18" s="6">
        <f t="shared" si="69"/>
        <v>19.466666666666669</v>
      </c>
      <c r="BA18" s="6">
        <f t="shared" si="11"/>
        <v>0.41633319989322704</v>
      </c>
      <c r="BB18" s="6">
        <v>88.3</v>
      </c>
      <c r="BC18" s="6" t="s">
        <v>686</v>
      </c>
      <c r="BD18" s="6">
        <f t="shared" si="12"/>
        <v>1380.2235006717458</v>
      </c>
      <c r="BE18" s="6">
        <f t="shared" si="13"/>
        <v>203.18733465192989</v>
      </c>
      <c r="BF18" s="47">
        <f t="shared" si="14"/>
        <v>3984.0653853319586</v>
      </c>
      <c r="BG18" s="6">
        <v>19.600000000000001</v>
      </c>
      <c r="BH18" s="6">
        <v>20</v>
      </c>
      <c r="BI18" s="6">
        <v>20.3</v>
      </c>
      <c r="BJ18" s="6">
        <f t="shared" si="15"/>
        <v>19.966666666666669</v>
      </c>
      <c r="BK18" s="6">
        <f t="shared" si="16"/>
        <v>0.35118845842842422</v>
      </c>
      <c r="BL18" s="6">
        <v>83.5</v>
      </c>
      <c r="BM18" s="6" t="s">
        <v>743</v>
      </c>
      <c r="BN18" s="6">
        <f t="shared" si="17"/>
        <v>975.96539687802749</v>
      </c>
      <c r="BO18" s="6">
        <f t="shared" si="18"/>
        <v>143.67514218360012</v>
      </c>
      <c r="BP18" s="47">
        <f t="shared" si="19"/>
        <v>2817.1596506588262</v>
      </c>
      <c r="BQ18" s="6">
        <v>24.2</v>
      </c>
      <c r="BR18" s="6">
        <v>24.6</v>
      </c>
      <c r="BS18" s="6">
        <v>25.2</v>
      </c>
      <c r="BT18" s="6">
        <f t="shared" si="20"/>
        <v>24.666666666666668</v>
      </c>
      <c r="BU18" s="6">
        <f t="shared" si="21"/>
        <v>0.50332229568471654</v>
      </c>
      <c r="BV18" s="6">
        <v>81.900000000000006</v>
      </c>
      <c r="BW18" s="6" t="s">
        <v>750</v>
      </c>
      <c r="BX18" s="6">
        <f t="shared" si="22"/>
        <v>37.548573312010568</v>
      </c>
      <c r="BY18" s="6">
        <f t="shared" si="23"/>
        <v>5.5276515198711209</v>
      </c>
      <c r="BZ18" s="47">
        <f t="shared" si="24"/>
        <v>108.3853239190416</v>
      </c>
      <c r="CA18" s="6">
        <v>28.2</v>
      </c>
      <c r="CB18" s="6">
        <v>28.7</v>
      </c>
      <c r="CC18" s="6">
        <v>28.6</v>
      </c>
      <c r="CD18" s="6">
        <f t="shared" si="25"/>
        <v>28.5</v>
      </c>
      <c r="CE18" s="6">
        <f t="shared" si="26"/>
        <v>0.26457513110645947</v>
      </c>
      <c r="CF18" s="6">
        <v>83.4</v>
      </c>
      <c r="CG18" s="6" t="s">
        <v>685</v>
      </c>
      <c r="CH18" s="6">
        <f t="shared" si="27"/>
        <v>2.634178031930877</v>
      </c>
      <c r="CI18" s="6">
        <f t="shared" si="70"/>
        <v>0.38778619045843477</v>
      </c>
      <c r="CJ18" s="47">
        <f t="shared" si="28"/>
        <v>7.6036507933026432</v>
      </c>
      <c r="CK18" s="6">
        <v>19.8</v>
      </c>
      <c r="CL18" s="6">
        <v>20.2</v>
      </c>
      <c r="CM18" s="6">
        <v>20.7</v>
      </c>
      <c r="CN18" s="6">
        <f t="shared" si="29"/>
        <v>20.233333333333334</v>
      </c>
      <c r="CO18" s="6">
        <f t="shared" si="30"/>
        <v>0.45092497528228875</v>
      </c>
      <c r="CP18" s="6">
        <v>82.2</v>
      </c>
      <c r="CR18" s="6">
        <f t="shared" si="31"/>
        <v>811.25942320905312</v>
      </c>
      <c r="CS18" s="6">
        <f t="shared" si="32"/>
        <v>119.42822291671175</v>
      </c>
      <c r="CT18" s="47">
        <f t="shared" si="33"/>
        <v>125.84638874258351</v>
      </c>
      <c r="CU18" s="6">
        <v>21</v>
      </c>
      <c r="CV18" s="6">
        <v>21.3</v>
      </c>
      <c r="CW18" s="6">
        <v>21.7</v>
      </c>
      <c r="CX18" s="6">
        <f t="shared" si="34"/>
        <v>21.333333333333332</v>
      </c>
      <c r="CY18" s="6">
        <f t="shared" si="35"/>
        <v>0.35118845842842422</v>
      </c>
      <c r="CZ18" s="6">
        <v>83.4</v>
      </c>
      <c r="DA18" s="6" t="s">
        <v>745</v>
      </c>
      <c r="DB18" s="6">
        <f t="shared" si="36"/>
        <v>378.46590327458409</v>
      </c>
      <c r="DC18" s="6">
        <f t="shared" si="37"/>
        <v>55.715236050952164</v>
      </c>
      <c r="DD18" s="47">
        <f t="shared" si="38"/>
        <v>58.709416281298381</v>
      </c>
      <c r="DE18" s="6">
        <v>21.1</v>
      </c>
      <c r="DF18" s="6">
        <v>21.5</v>
      </c>
      <c r="DG18" s="6">
        <v>21.8</v>
      </c>
      <c r="DH18" s="6">
        <f t="shared" si="39"/>
        <v>21.466666666666669</v>
      </c>
      <c r="DI18" s="6">
        <f t="shared" si="40"/>
        <v>0.35118845842842422</v>
      </c>
      <c r="DJ18" s="6">
        <v>81.7</v>
      </c>
      <c r="DL18" s="6">
        <f t="shared" si="41"/>
        <v>345.05587516793639</v>
      </c>
      <c r="DM18" s="6">
        <f t="shared" si="42"/>
        <v>944.45178223199935</v>
      </c>
      <c r="DN18" s="46">
        <f t="shared" si="43"/>
        <v>995.20735746259152</v>
      </c>
      <c r="DO18" s="12">
        <v>30.6</v>
      </c>
      <c r="DP18" s="12">
        <v>27</v>
      </c>
      <c r="DQ18" s="6">
        <v>22.7</v>
      </c>
      <c r="DR18" s="6">
        <f>AVERAGE(DQ18)</f>
        <v>22.7</v>
      </c>
      <c r="DS18" s="6">
        <f t="shared" si="45"/>
        <v>3.9551653989856645</v>
      </c>
      <c r="DT18" s="6">
        <v>80.900000000000006</v>
      </c>
      <c r="DU18" s="6" t="s">
        <v>871</v>
      </c>
      <c r="DV18" s="6">
        <f t="shared" si="46"/>
        <v>146.76385084926093</v>
      </c>
      <c r="DW18" s="6">
        <f t="shared" si="47"/>
        <v>401.70705812313611</v>
      </c>
      <c r="DX18" s="47">
        <f t="shared" si="48"/>
        <v>423.29510866505387</v>
      </c>
      <c r="DY18" s="6">
        <v>22.9</v>
      </c>
      <c r="DZ18" s="6">
        <v>23</v>
      </c>
      <c r="EA18" s="6">
        <v>23.4</v>
      </c>
      <c r="EB18" s="6">
        <f t="shared" si="79"/>
        <v>23.099999999999998</v>
      </c>
      <c r="EC18" s="6">
        <f t="shared" si="49"/>
        <v>0.26457513110645881</v>
      </c>
      <c r="ED18" s="6">
        <v>83.9</v>
      </c>
      <c r="EF18" s="6">
        <f t="shared" si="50"/>
        <v>111.22620004854316</v>
      </c>
      <c r="EG18" s="7">
        <f t="shared" si="51"/>
        <v>16.373982271948485</v>
      </c>
      <c r="EH18" s="47">
        <f t="shared" si="52"/>
        <v>17.253932847153305</v>
      </c>
      <c r="EI18" s="6">
        <v>21.9</v>
      </c>
      <c r="EJ18" s="6">
        <v>21.4</v>
      </c>
      <c r="EK18" s="6" t="s">
        <v>86</v>
      </c>
      <c r="EL18" s="6">
        <f t="shared" si="75"/>
        <v>21.65</v>
      </c>
      <c r="EM18" s="6">
        <f t="shared" si="53"/>
        <v>0.35355339059327379</v>
      </c>
      <c r="EN18" s="6">
        <v>85.2</v>
      </c>
      <c r="EO18" s="6" t="s">
        <v>889</v>
      </c>
      <c r="EP18" s="6">
        <f t="shared" si="54"/>
        <v>303.87893374425499</v>
      </c>
      <c r="EQ18" s="6">
        <f t="shared" si="55"/>
        <v>831.74645386878512</v>
      </c>
      <c r="ER18" s="47">
        <f t="shared" si="56"/>
        <v>876.44515686910972</v>
      </c>
      <c r="ES18" s="6">
        <v>22.6</v>
      </c>
      <c r="ET18" s="6">
        <v>22.7</v>
      </c>
      <c r="EU18" s="6">
        <v>22.8</v>
      </c>
      <c r="EV18" s="6">
        <f t="shared" si="76"/>
        <v>22.7</v>
      </c>
      <c r="EW18" s="6">
        <f t="shared" si="57"/>
        <v>9.9999999999999645E-2</v>
      </c>
      <c r="EX18" s="6">
        <v>81.400000000000006</v>
      </c>
      <c r="EZ18" s="6">
        <f t="shared" si="58"/>
        <v>146.76385084926093</v>
      </c>
      <c r="FA18" s="6">
        <f t="shared" si="59"/>
        <v>401.70705812313611</v>
      </c>
      <c r="FB18" s="47">
        <f t="shared" si="60"/>
        <v>423.29510866505387</v>
      </c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</row>
    <row r="19" spans="1:176" s="6" customFormat="1">
      <c r="A19" s="6" t="s">
        <v>599</v>
      </c>
      <c r="B19" s="6" t="s">
        <v>635</v>
      </c>
      <c r="C19" s="6">
        <v>24</v>
      </c>
      <c r="E19" s="6">
        <v>27.4</v>
      </c>
      <c r="F19" s="6">
        <v>27</v>
      </c>
      <c r="G19" s="6">
        <v>26.8</v>
      </c>
      <c r="H19" s="6">
        <f t="shared" si="0"/>
        <v>27.066666666666666</v>
      </c>
      <c r="I19" s="6">
        <f t="shared" si="1"/>
        <v>0.30550504633038827</v>
      </c>
      <c r="J19" s="6">
        <v>81.3</v>
      </c>
      <c r="K19" s="6" t="s">
        <v>44</v>
      </c>
      <c r="L19" s="47">
        <f t="shared" si="2"/>
        <v>7.1141243272305763</v>
      </c>
      <c r="M19" s="59">
        <v>32.200000000000003</v>
      </c>
      <c r="N19" s="56">
        <v>31.9</v>
      </c>
      <c r="O19" s="56">
        <v>31.3</v>
      </c>
      <c r="P19" s="56">
        <f>AVERAGE(N19:O19)</f>
        <v>31.6</v>
      </c>
      <c r="Q19" s="56">
        <f t="shared" si="4"/>
        <v>0.45825756949558472</v>
      </c>
      <c r="R19" s="56">
        <v>81.3</v>
      </c>
      <c r="S19" s="56" t="s">
        <v>671</v>
      </c>
      <c r="T19" s="47">
        <f t="shared" si="5"/>
        <v>0.307221876171626</v>
      </c>
      <c r="U19" s="6">
        <v>22.8</v>
      </c>
      <c r="V19" s="6">
        <v>23.3</v>
      </c>
      <c r="W19" s="6">
        <v>23</v>
      </c>
      <c r="X19" s="6">
        <f t="shared" si="61"/>
        <v>23.033333333333331</v>
      </c>
      <c r="Y19" s="6">
        <f t="shared" si="62"/>
        <v>0.25166114784235838</v>
      </c>
      <c r="Z19" s="6">
        <v>84.7</v>
      </c>
      <c r="AA19" s="6" t="s">
        <v>733</v>
      </c>
      <c r="AB19" s="6">
        <f t="shared" si="63"/>
        <v>1.1648654561451051E-7</v>
      </c>
      <c r="AC19" s="6">
        <v>20.9</v>
      </c>
      <c r="AD19" s="6">
        <v>21.5</v>
      </c>
      <c r="AE19" s="6">
        <v>21.3</v>
      </c>
      <c r="AF19" s="6">
        <f t="shared" si="64"/>
        <v>21.233333333333334</v>
      </c>
      <c r="AG19" s="6">
        <f t="shared" si="65"/>
        <v>0.30550504633039016</v>
      </c>
      <c r="AH19" s="6">
        <v>82.5</v>
      </c>
      <c r="AI19" s="6" t="s">
        <v>733</v>
      </c>
      <c r="AJ19" s="6">
        <f t="shared" si="66"/>
        <v>4.0562971160452643E-7</v>
      </c>
      <c r="AK19" s="47">
        <f t="shared" si="67"/>
        <v>0.22310461320426259</v>
      </c>
      <c r="AL19" s="47">
        <f t="shared" si="68"/>
        <v>0.77689538679573744</v>
      </c>
      <c r="AM19" s="6">
        <v>24.2</v>
      </c>
      <c r="AN19" s="6">
        <v>23.9</v>
      </c>
      <c r="AO19" s="6">
        <v>23.6</v>
      </c>
      <c r="AP19" s="6">
        <f t="shared" si="6"/>
        <v>23.899999999999995</v>
      </c>
      <c r="AQ19" s="6">
        <f t="shared" si="7"/>
        <v>0.29999999999999893</v>
      </c>
      <c r="AR19" s="6">
        <v>84.1</v>
      </c>
      <c r="AS19" s="6" t="s">
        <v>669</v>
      </c>
      <c r="AT19" s="6">
        <f t="shared" si="8"/>
        <v>63.882676514166342</v>
      </c>
      <c r="AU19" s="6">
        <f t="shared" si="9"/>
        <v>8.9796963864750055</v>
      </c>
      <c r="AV19" s="47">
        <f t="shared" si="10"/>
        <v>40.248815376370899</v>
      </c>
      <c r="AW19" s="6">
        <v>20.9</v>
      </c>
      <c r="AX19" s="6">
        <v>20.6</v>
      </c>
      <c r="AY19" s="6">
        <v>20.6</v>
      </c>
      <c r="AZ19" s="6">
        <f t="shared" si="69"/>
        <v>20.7</v>
      </c>
      <c r="BA19" s="6">
        <f t="shared" si="11"/>
        <v>0.17320508075688609</v>
      </c>
      <c r="BB19" s="6">
        <v>88.3</v>
      </c>
      <c r="BC19" s="6" t="s">
        <v>686</v>
      </c>
      <c r="BD19" s="6">
        <f t="shared" si="12"/>
        <v>587.05540339704396</v>
      </c>
      <c r="BE19" s="6">
        <f t="shared" si="13"/>
        <v>82.519699740133163</v>
      </c>
      <c r="BF19" s="47">
        <f t="shared" si="14"/>
        <v>369.86998410733247</v>
      </c>
      <c r="BG19" s="6">
        <v>21.5</v>
      </c>
      <c r="BH19" s="6">
        <v>21</v>
      </c>
      <c r="BI19" s="6">
        <v>20.9</v>
      </c>
      <c r="BJ19" s="6">
        <f t="shared" si="15"/>
        <v>21.133333333333333</v>
      </c>
      <c r="BK19" s="6">
        <f t="shared" si="16"/>
        <v>0.32145502536643233</v>
      </c>
      <c r="BL19" s="6">
        <v>83.7</v>
      </c>
      <c r="BM19" s="6" t="s">
        <v>743</v>
      </c>
      <c r="BN19" s="6">
        <f t="shared" si="17"/>
        <v>434.74316051398171</v>
      </c>
      <c r="BO19" s="6">
        <f t="shared" si="18"/>
        <v>61.109862650266727</v>
      </c>
      <c r="BP19" s="47">
        <f t="shared" si="19"/>
        <v>273.90676406282029</v>
      </c>
      <c r="BQ19" s="6">
        <v>26</v>
      </c>
      <c r="BR19" s="6">
        <v>25.6</v>
      </c>
      <c r="BS19" s="12">
        <v>23.4</v>
      </c>
      <c r="BT19" s="6">
        <f>AVERAGE(BQ19:BR19)</f>
        <v>25.8</v>
      </c>
      <c r="BU19" s="6">
        <f t="shared" si="21"/>
        <v>1.400000000000001</v>
      </c>
      <c r="BV19" s="6">
        <v>82</v>
      </c>
      <c r="BW19" s="6" t="s">
        <v>671</v>
      </c>
      <c r="BX19" s="6">
        <f t="shared" si="22"/>
        <v>17.11693935091845</v>
      </c>
      <c r="BY19" s="6">
        <f t="shared" si="23"/>
        <v>2.4060500721642324</v>
      </c>
      <c r="BZ19" s="47">
        <f t="shared" si="24"/>
        <v>10.784403054729228</v>
      </c>
      <c r="CA19" s="6">
        <v>29.7</v>
      </c>
      <c r="CB19" s="6">
        <v>29.8</v>
      </c>
      <c r="CC19" s="6">
        <v>29.2</v>
      </c>
      <c r="CD19" s="6">
        <f t="shared" si="25"/>
        <v>29.566666666666666</v>
      </c>
      <c r="CE19" s="6">
        <f t="shared" si="26"/>
        <v>0.32145502536643233</v>
      </c>
      <c r="CF19" s="6">
        <v>83.5</v>
      </c>
      <c r="CH19" s="6">
        <f t="shared" si="27"/>
        <v>1.2576113884972346</v>
      </c>
      <c r="CI19" s="6">
        <f t="shared" si="70"/>
        <v>0.17677669529663734</v>
      </c>
      <c r="CJ19" s="47">
        <f t="shared" si="28"/>
        <v>0.79234890196909602</v>
      </c>
      <c r="CK19" s="6">
        <v>20.8</v>
      </c>
      <c r="CL19" s="6">
        <v>20.399999999999999</v>
      </c>
      <c r="CM19" s="6">
        <v>20.399999999999999</v>
      </c>
      <c r="CN19" s="6">
        <f t="shared" si="29"/>
        <v>20.533333333333335</v>
      </c>
      <c r="CO19" s="6">
        <f t="shared" si="30"/>
        <v>0.23094010767585155</v>
      </c>
      <c r="CP19" s="6">
        <v>82.2</v>
      </c>
      <c r="CQ19" s="6" t="s">
        <v>685</v>
      </c>
      <c r="CR19" s="6">
        <f t="shared" si="31"/>
        <v>658.94741056813007</v>
      </c>
      <c r="CS19" s="6">
        <f t="shared" si="32"/>
        <v>92.625231196184131</v>
      </c>
      <c r="CT19" s="47">
        <f t="shared" si="33"/>
        <v>119.22484387275337</v>
      </c>
      <c r="CU19" s="6">
        <v>22</v>
      </c>
      <c r="CV19" s="6">
        <v>21.6</v>
      </c>
      <c r="CW19" s="6">
        <v>21.4</v>
      </c>
      <c r="CX19" s="6">
        <f t="shared" si="34"/>
        <v>21.666666666666668</v>
      </c>
      <c r="CY19" s="6">
        <f t="shared" si="35"/>
        <v>0.30550504633038983</v>
      </c>
      <c r="CZ19" s="6">
        <v>83.4</v>
      </c>
      <c r="DA19" s="6" t="s">
        <v>745</v>
      </c>
      <c r="DB19" s="6">
        <f t="shared" si="36"/>
        <v>300.38858649608466</v>
      </c>
      <c r="DC19" s="6">
        <f t="shared" si="37"/>
        <v>42.224253144732643</v>
      </c>
      <c r="DD19" s="47">
        <f t="shared" si="38"/>
        <v>54.349985676815855</v>
      </c>
      <c r="DE19" s="6">
        <v>21.5</v>
      </c>
      <c r="DF19" s="6">
        <v>21.5</v>
      </c>
      <c r="DG19" s="6">
        <v>21.8</v>
      </c>
      <c r="DH19" s="6">
        <f t="shared" si="39"/>
        <v>21.599999999999998</v>
      </c>
      <c r="DI19" s="6">
        <f t="shared" si="40"/>
        <v>0.17320508075688815</v>
      </c>
      <c r="DJ19" s="6">
        <v>81.7</v>
      </c>
      <c r="DL19" s="6">
        <f t="shared" si="41"/>
        <v>314.5952011997453</v>
      </c>
      <c r="DM19" s="6">
        <f t="shared" si="42"/>
        <v>1024.0000000000009</v>
      </c>
      <c r="DN19" s="46">
        <f t="shared" si="43"/>
        <v>1318.0667788792425</v>
      </c>
      <c r="DO19" s="12">
        <v>22.5</v>
      </c>
      <c r="DP19" s="6">
        <v>21.7</v>
      </c>
      <c r="DQ19" s="6">
        <v>21.6</v>
      </c>
      <c r="DR19" s="6">
        <f>AVERAGE(DP19:DQ19)</f>
        <v>21.65</v>
      </c>
      <c r="DS19" s="6">
        <f t="shared" si="45"/>
        <v>0.49328828623162441</v>
      </c>
      <c r="DT19" s="6">
        <v>81.400000000000006</v>
      </c>
      <c r="DU19" s="6" t="s">
        <v>671</v>
      </c>
      <c r="DV19" s="6">
        <f t="shared" si="46"/>
        <v>303.87893374425499</v>
      </c>
      <c r="DW19" s="6">
        <f t="shared" si="47"/>
        <v>989.11880081904224</v>
      </c>
      <c r="DX19" s="47">
        <f t="shared" si="48"/>
        <v>1273.1685856684112</v>
      </c>
      <c r="DY19" s="6">
        <v>22.1</v>
      </c>
      <c r="DZ19" s="6">
        <v>21.9</v>
      </c>
      <c r="EA19" s="6">
        <v>21.8</v>
      </c>
      <c r="EB19" s="6">
        <f t="shared" si="79"/>
        <v>21.933333333333334</v>
      </c>
      <c r="EC19" s="6">
        <f t="shared" si="49"/>
        <v>0.1527525231651953</v>
      </c>
      <c r="ED19" s="6">
        <v>83.9</v>
      </c>
      <c r="EF19" s="6">
        <f t="shared" si="50"/>
        <v>249.69437666431136</v>
      </c>
      <c r="EG19" s="7">
        <f t="shared" si="51"/>
        <v>35.098399350228071</v>
      </c>
      <c r="EH19" s="47">
        <f t="shared" si="52"/>
        <v>45.177767749387087</v>
      </c>
      <c r="EI19" s="6">
        <v>20.100000000000001</v>
      </c>
      <c r="EJ19" s="6">
        <v>20.100000000000001</v>
      </c>
      <c r="EK19" s="6">
        <v>20</v>
      </c>
      <c r="EL19" s="6">
        <f t="shared" si="75"/>
        <v>20.066666666666666</v>
      </c>
      <c r="EM19" s="6">
        <f t="shared" si="53"/>
        <v>5.77350269189634E-2</v>
      </c>
      <c r="EN19" s="6">
        <v>84.8</v>
      </c>
      <c r="EP19" s="6">
        <f t="shared" si="54"/>
        <v>910.60791388551445</v>
      </c>
      <c r="EQ19" s="6">
        <f t="shared" si="55"/>
        <v>2964.007398277894</v>
      </c>
      <c r="ER19" s="47">
        <f t="shared" si="56"/>
        <v>3815.1950039281101</v>
      </c>
      <c r="ES19" s="6">
        <v>21.5</v>
      </c>
      <c r="ET19" s="6">
        <v>21.5</v>
      </c>
      <c r="EU19" s="6">
        <v>21.5</v>
      </c>
      <c r="EV19" s="6">
        <f t="shared" si="76"/>
        <v>21.5</v>
      </c>
      <c r="EW19" s="6">
        <f t="shared" si="57"/>
        <v>0</v>
      </c>
      <c r="EX19" s="6">
        <v>81.5</v>
      </c>
      <c r="EZ19" s="6">
        <f t="shared" si="58"/>
        <v>337.17478808715248</v>
      </c>
      <c r="FA19" s="6">
        <f t="shared" si="59"/>
        <v>1097.4960256371639</v>
      </c>
      <c r="FB19" s="47">
        <f t="shared" si="60"/>
        <v>1412.6689954534629</v>
      </c>
      <c r="FC19" s="53"/>
      <c r="FD19" s="53"/>
      <c r="FE19" s="53"/>
      <c r="FF19" s="44"/>
      <c r="FG19" s="44"/>
      <c r="FH19" s="53"/>
      <c r="FI19" s="53"/>
      <c r="FJ19" s="44"/>
      <c r="FK19" s="53"/>
      <c r="FL19" s="53"/>
      <c r="FM19" s="53"/>
      <c r="FN19" s="44"/>
      <c r="FO19" s="44"/>
      <c r="FP19" s="53"/>
      <c r="FQ19" s="53"/>
      <c r="FR19" s="44"/>
      <c r="FS19" s="44"/>
    </row>
    <row r="20" spans="1:176" s="6" customFormat="1">
      <c r="A20" s="6" t="s">
        <v>600</v>
      </c>
      <c r="B20" s="6" t="s">
        <v>635</v>
      </c>
      <c r="C20" s="6">
        <v>24</v>
      </c>
      <c r="E20" s="6">
        <v>27</v>
      </c>
      <c r="F20" s="6">
        <v>27</v>
      </c>
      <c r="G20" s="6">
        <v>27.2</v>
      </c>
      <c r="H20" s="6">
        <f t="shared" si="0"/>
        <v>27.066666666666666</v>
      </c>
      <c r="I20" s="6">
        <f t="shared" si="1"/>
        <v>0.11547005383792475</v>
      </c>
      <c r="J20" s="6">
        <v>81.2</v>
      </c>
      <c r="K20" s="6" t="s">
        <v>44</v>
      </c>
      <c r="L20" s="47">
        <f t="shared" si="2"/>
        <v>7.1141243272305763</v>
      </c>
      <c r="M20" s="56">
        <v>31.5</v>
      </c>
      <c r="N20" s="56">
        <v>31.9</v>
      </c>
      <c r="O20" s="56">
        <v>31.4</v>
      </c>
      <c r="P20" s="56">
        <f t="shared" si="3"/>
        <v>31.599999999999998</v>
      </c>
      <c r="Q20" s="56">
        <f t="shared" si="4"/>
        <v>0.26457513110645881</v>
      </c>
      <c r="R20" s="56">
        <v>81.400000000000006</v>
      </c>
      <c r="S20" s="56"/>
      <c r="T20" s="47">
        <f t="shared" si="5"/>
        <v>0.307221876171626</v>
      </c>
      <c r="U20" s="6">
        <v>20.7</v>
      </c>
      <c r="V20" s="6">
        <v>20.8</v>
      </c>
      <c r="W20" s="6">
        <v>20.5</v>
      </c>
      <c r="X20" s="6">
        <f t="shared" si="61"/>
        <v>20.666666666666668</v>
      </c>
      <c r="Y20" s="6">
        <f t="shared" si="62"/>
        <v>0.15275252316519489</v>
      </c>
      <c r="Z20" s="6">
        <v>84.7</v>
      </c>
      <c r="AA20" s="6" t="s">
        <v>733</v>
      </c>
      <c r="AB20" s="6">
        <f t="shared" si="63"/>
        <v>6.0077717299216825E-7</v>
      </c>
      <c r="AC20" s="6">
        <v>17.8</v>
      </c>
      <c r="AD20" s="6">
        <v>17.8</v>
      </c>
      <c r="AE20" s="6">
        <v>17.600000000000001</v>
      </c>
      <c r="AF20" s="6">
        <f t="shared" si="64"/>
        <v>17.733333333333334</v>
      </c>
      <c r="AG20" s="6">
        <f t="shared" si="65"/>
        <v>0.11547005383792475</v>
      </c>
      <c r="AH20" s="6">
        <v>82</v>
      </c>
      <c r="AI20" s="6" t="s">
        <v>733</v>
      </c>
      <c r="AJ20" s="6">
        <f t="shared" si="66"/>
        <v>4.5891763156208656E-6</v>
      </c>
      <c r="AK20" s="47">
        <f t="shared" si="67"/>
        <v>0.11575771812026785</v>
      </c>
      <c r="AL20" s="47">
        <f t="shared" si="68"/>
        <v>0.88424228187973219</v>
      </c>
      <c r="AM20" s="6">
        <v>22.6</v>
      </c>
      <c r="AN20" s="6">
        <v>23.3</v>
      </c>
      <c r="AO20" s="6">
        <v>23</v>
      </c>
      <c r="AP20" s="6">
        <f t="shared" si="6"/>
        <v>22.966666666666669</v>
      </c>
      <c r="AQ20" s="6">
        <f t="shared" si="7"/>
        <v>0.35118845842842422</v>
      </c>
      <c r="AR20" s="6">
        <v>84.1</v>
      </c>
      <c r="AS20" s="6" t="s">
        <v>669</v>
      </c>
      <c r="AT20" s="6">
        <f t="shared" si="8"/>
        <v>121.99567460975341</v>
      </c>
      <c r="AU20" s="6">
        <f t="shared" si="9"/>
        <v>17.148375400580683</v>
      </c>
      <c r="AV20" s="47">
        <f t="shared" si="10"/>
        <v>148.1402335761679</v>
      </c>
      <c r="AW20" s="6">
        <v>20.2</v>
      </c>
      <c r="AX20" s="6">
        <v>20.7</v>
      </c>
      <c r="AY20" s="6">
        <v>20.399999999999999</v>
      </c>
      <c r="AZ20" s="6">
        <f t="shared" si="69"/>
        <v>20.433333333333334</v>
      </c>
      <c r="BA20" s="6">
        <f t="shared" si="11"/>
        <v>0.25166114784235838</v>
      </c>
      <c r="BB20" s="6">
        <v>88.1</v>
      </c>
      <c r="BC20" s="6" t="s">
        <v>685</v>
      </c>
      <c r="BD20" s="6">
        <f t="shared" si="12"/>
        <v>706.2423478539298</v>
      </c>
      <c r="BE20" s="6">
        <f t="shared" si="13"/>
        <v>99.273264757359044</v>
      </c>
      <c r="BF20" s="47">
        <f t="shared" si="14"/>
        <v>857.59521152808065</v>
      </c>
      <c r="BG20" s="6">
        <v>20.399999999999999</v>
      </c>
      <c r="BH20" s="6">
        <v>20.399999999999999</v>
      </c>
      <c r="BI20" s="6">
        <v>20.3</v>
      </c>
      <c r="BJ20" s="6">
        <f t="shared" si="15"/>
        <v>20.366666666666664</v>
      </c>
      <c r="BK20" s="6">
        <f t="shared" si="16"/>
        <v>5.7735026918961339E-2</v>
      </c>
      <c r="BL20" s="6">
        <v>83.5</v>
      </c>
      <c r="BM20" s="6" t="s">
        <v>743</v>
      </c>
      <c r="BN20" s="6">
        <f t="shared" si="17"/>
        <v>739.64346019446361</v>
      </c>
      <c r="BO20" s="6">
        <f t="shared" si="18"/>
        <v>103.9683067335985</v>
      </c>
      <c r="BP20" s="47">
        <f t="shared" si="19"/>
        <v>898.15442479247383</v>
      </c>
      <c r="BQ20" s="6">
        <v>24.4</v>
      </c>
      <c r="BR20" s="6">
        <v>24.7</v>
      </c>
      <c r="BS20" s="6">
        <v>24.6</v>
      </c>
      <c r="BT20" s="6">
        <f t="shared" si="20"/>
        <v>24.566666666666663</v>
      </c>
      <c r="BU20" s="6">
        <f t="shared" si="21"/>
        <v>0.15275252316519528</v>
      </c>
      <c r="BV20" s="6">
        <v>81.900000000000006</v>
      </c>
      <c r="BW20" s="6" t="s">
        <v>750</v>
      </c>
      <c r="BX20" s="6">
        <f t="shared" si="22"/>
        <v>40.243564431911594</v>
      </c>
      <c r="BY20" s="6">
        <f t="shared" si="23"/>
        <v>5.6568542494924063</v>
      </c>
      <c r="BZ20" s="47">
        <f t="shared" si="24"/>
        <v>48.868052526874713</v>
      </c>
      <c r="CA20" s="6">
        <v>28.9</v>
      </c>
      <c r="CB20" s="6">
        <v>28.9</v>
      </c>
      <c r="CC20" s="6">
        <v>29</v>
      </c>
      <c r="CD20" s="6">
        <f t="shared" si="25"/>
        <v>28.933333333333334</v>
      </c>
      <c r="CE20" s="6">
        <f t="shared" si="26"/>
        <v>5.77350269189634E-2</v>
      </c>
      <c r="CF20" s="6">
        <v>83.4</v>
      </c>
      <c r="CG20" s="6" t="s">
        <v>685</v>
      </c>
      <c r="CH20" s="6">
        <f t="shared" si="27"/>
        <v>1.9507373176899347</v>
      </c>
      <c r="CI20" s="6">
        <f t="shared" si="70"/>
        <v>0.27420624492365708</v>
      </c>
      <c r="CJ20" s="47">
        <f t="shared" si="28"/>
        <v>2.3687944905649165</v>
      </c>
      <c r="CK20" s="6">
        <v>20.2</v>
      </c>
      <c r="CL20" s="6">
        <v>20.2</v>
      </c>
      <c r="CM20" s="6">
        <v>20.3</v>
      </c>
      <c r="CN20" s="6">
        <f t="shared" si="29"/>
        <v>20.233333333333334</v>
      </c>
      <c r="CO20" s="6">
        <f t="shared" si="30"/>
        <v>5.77350269189634E-2</v>
      </c>
      <c r="CP20" s="6">
        <v>82.2</v>
      </c>
      <c r="CR20" s="6">
        <f t="shared" si="31"/>
        <v>811.25942320905312</v>
      </c>
      <c r="CS20" s="6">
        <f t="shared" si="32"/>
        <v>114.0350359219635</v>
      </c>
      <c r="CT20" s="47">
        <f t="shared" si="33"/>
        <v>128.96356378655241</v>
      </c>
      <c r="CU20" s="6">
        <v>21.7</v>
      </c>
      <c r="CV20" s="6">
        <v>21.9</v>
      </c>
      <c r="CW20" s="6">
        <v>21.9</v>
      </c>
      <c r="CX20" s="6">
        <f t="shared" si="34"/>
        <v>21.833333333333332</v>
      </c>
      <c r="CY20" s="6">
        <f t="shared" si="35"/>
        <v>0.11547005383792475</v>
      </c>
      <c r="CZ20" s="6">
        <v>83.2</v>
      </c>
      <c r="DA20" s="6" t="s">
        <v>745</v>
      </c>
      <c r="DB20" s="6">
        <f t="shared" si="36"/>
        <v>267.6158066533506</v>
      </c>
      <c r="DC20" s="6">
        <f t="shared" si="37"/>
        <v>37.61753300107555</v>
      </c>
      <c r="DD20" s="47">
        <f t="shared" si="38"/>
        <v>42.542110654455222</v>
      </c>
      <c r="DE20" s="6">
        <v>21.3</v>
      </c>
      <c r="DF20" s="6">
        <v>21.6</v>
      </c>
      <c r="DG20" s="6">
        <v>21.4</v>
      </c>
      <c r="DH20" s="6">
        <f t="shared" si="39"/>
        <v>21.433333333333337</v>
      </c>
      <c r="DI20" s="6">
        <f t="shared" si="40"/>
        <v>0.15275252316519528</v>
      </c>
      <c r="DJ20" s="6">
        <v>82.1</v>
      </c>
      <c r="DL20" s="6">
        <f t="shared" si="41"/>
        <v>353.12117392696427</v>
      </c>
      <c r="DM20" s="6">
        <f t="shared" si="42"/>
        <v>1149.4011374687952</v>
      </c>
      <c r="DN20" s="46">
        <f t="shared" si="43"/>
        <v>1299.8712694730966</v>
      </c>
      <c r="DO20" s="6">
        <v>21.8</v>
      </c>
      <c r="DP20" s="6">
        <v>21.9</v>
      </c>
      <c r="DQ20" s="6">
        <v>22</v>
      </c>
      <c r="DR20" s="6">
        <f t="shared" si="44"/>
        <v>21.900000000000002</v>
      </c>
      <c r="DS20" s="6">
        <f t="shared" si="45"/>
        <v>9.9999999999999645E-2</v>
      </c>
      <c r="DT20" s="6">
        <v>81.599999999999994</v>
      </c>
      <c r="DV20" s="6">
        <f t="shared" si="46"/>
        <v>255.53070605666449</v>
      </c>
      <c r="DW20" s="6">
        <f t="shared" si="47"/>
        <v>831.74645386878365</v>
      </c>
      <c r="DX20" s="47">
        <f t="shared" si="48"/>
        <v>940.63185047049285</v>
      </c>
      <c r="DY20" s="6">
        <v>22.1</v>
      </c>
      <c r="DZ20" s="6">
        <v>22.1</v>
      </c>
      <c r="EA20" s="6">
        <v>22.1</v>
      </c>
      <c r="EB20" s="6">
        <f t="shared" si="79"/>
        <v>22.100000000000005</v>
      </c>
      <c r="EC20" s="6">
        <f t="shared" si="49"/>
        <v>4.3511678576336583E-15</v>
      </c>
      <c r="ED20" s="6">
        <v>84</v>
      </c>
      <c r="EF20" s="6">
        <f t="shared" si="50"/>
        <v>222.45240009708519</v>
      </c>
      <c r="EG20" s="7">
        <f t="shared" si="51"/>
        <v>31.269118989895784</v>
      </c>
      <c r="EH20" s="47">
        <f t="shared" si="52"/>
        <v>35.362614557882864</v>
      </c>
      <c r="EI20" s="6">
        <v>21.1</v>
      </c>
      <c r="EJ20" s="6">
        <v>21</v>
      </c>
      <c r="EK20" s="6">
        <v>20.9</v>
      </c>
      <c r="EL20" s="6">
        <f t="shared" si="75"/>
        <v>21</v>
      </c>
      <c r="EM20" s="6">
        <f t="shared" si="53"/>
        <v>0.10000000000000142</v>
      </c>
      <c r="EN20" s="6">
        <v>85.2</v>
      </c>
      <c r="EP20" s="6">
        <f t="shared" si="54"/>
        <v>476.837158203125</v>
      </c>
      <c r="EQ20" s="6">
        <f t="shared" si="55"/>
        <v>1552.0937641066464</v>
      </c>
      <c r="ER20" s="47">
        <f t="shared" si="56"/>
        <v>1755.2810987585756</v>
      </c>
      <c r="ES20" s="6">
        <v>21.7</v>
      </c>
      <c r="ET20" s="6">
        <v>21.7</v>
      </c>
      <c r="EU20" s="6">
        <v>21.5</v>
      </c>
      <c r="EV20" s="6">
        <f t="shared" si="76"/>
        <v>21.633333333333336</v>
      </c>
      <c r="EW20" s="6">
        <f t="shared" si="57"/>
        <v>0.11547005383792475</v>
      </c>
      <c r="EX20" s="6">
        <v>81.7</v>
      </c>
      <c r="EZ20" s="6">
        <f t="shared" si="58"/>
        <v>307.40983687390735</v>
      </c>
      <c r="FA20" s="6">
        <f t="shared" si="59"/>
        <v>1000.6118076766654</v>
      </c>
      <c r="FB20" s="47">
        <f t="shared" si="60"/>
        <v>1131.6036658522521</v>
      </c>
      <c r="FC20" s="6" t="s">
        <v>86</v>
      </c>
      <c r="FD20" s="6" t="s">
        <v>86</v>
      </c>
      <c r="FE20" s="6" t="s">
        <v>86</v>
      </c>
      <c r="FF20" s="6" t="s">
        <v>272</v>
      </c>
      <c r="FG20" s="6" t="s">
        <v>272</v>
      </c>
      <c r="FH20" s="6" t="s">
        <v>823</v>
      </c>
      <c r="FJ20" s="6" t="s">
        <v>272</v>
      </c>
      <c r="FN20" s="6" t="e">
        <f t="shared" si="78"/>
        <v>#DIV/0!</v>
      </c>
      <c r="FO20" s="6" t="e">
        <f t="shared" si="73"/>
        <v>#DIV/0!</v>
      </c>
      <c r="FP20"/>
      <c r="FQ20"/>
      <c r="FR20" s="6" t="e">
        <f t="shared" si="74"/>
        <v>#DIV/0!</v>
      </c>
      <c r="FS20" s="47" t="s">
        <v>831</v>
      </c>
    </row>
    <row r="21" spans="1:176" s="7" customFormat="1">
      <c r="A21" s="7" t="s">
        <v>601</v>
      </c>
      <c r="B21" s="7" t="s">
        <v>634</v>
      </c>
      <c r="C21" s="7">
        <v>48</v>
      </c>
      <c r="E21" s="7">
        <v>28.1</v>
      </c>
      <c r="F21" s="7">
        <v>28.3</v>
      </c>
      <c r="G21" s="7">
        <v>27.8</v>
      </c>
      <c r="H21" s="7">
        <f t="shared" si="0"/>
        <v>28.066666666666666</v>
      </c>
      <c r="I21" s="7">
        <f t="shared" si="1"/>
        <v>0.25166114784235838</v>
      </c>
      <c r="J21" s="7">
        <v>81.5</v>
      </c>
      <c r="K21" s="7" t="s">
        <v>44</v>
      </c>
      <c r="L21" s="46">
        <f t="shared" si="2"/>
        <v>3.5570621636152944</v>
      </c>
      <c r="M21" s="32">
        <v>31.6</v>
      </c>
      <c r="N21" s="32">
        <v>31.6</v>
      </c>
      <c r="O21" s="32">
        <v>31.4</v>
      </c>
      <c r="P21" s="32">
        <f t="shared" si="3"/>
        <v>31.533333333333331</v>
      </c>
      <c r="Q21" s="32">
        <f t="shared" si="4"/>
        <v>0.1154700538379268</v>
      </c>
      <c r="R21" s="32">
        <v>81.2</v>
      </c>
      <c r="S21" s="32"/>
      <c r="T21" s="46">
        <f t="shared" si="5"/>
        <v>0.3217516653164712</v>
      </c>
      <c r="U21" s="7">
        <v>19.600000000000001</v>
      </c>
      <c r="V21" s="7">
        <v>19.7</v>
      </c>
      <c r="W21" s="7">
        <v>19.8</v>
      </c>
      <c r="X21" s="7">
        <f t="shared" si="61"/>
        <v>19.7</v>
      </c>
      <c r="Y21" s="7">
        <f t="shared" si="62"/>
        <v>9.9999999999999645E-2</v>
      </c>
      <c r="Z21" s="7">
        <v>85</v>
      </c>
      <c r="AA21" s="7" t="s">
        <v>733</v>
      </c>
      <c r="AB21" s="7">
        <f t="shared" si="63"/>
        <v>1.1741108067940878E-6</v>
      </c>
      <c r="AC21" s="7">
        <v>16.7</v>
      </c>
      <c r="AD21" s="7" t="s">
        <v>86</v>
      </c>
      <c r="AE21" s="7" t="s">
        <v>86</v>
      </c>
      <c r="AF21" s="7">
        <f t="shared" si="64"/>
        <v>16.7</v>
      </c>
      <c r="AG21" s="7" t="s">
        <v>272</v>
      </c>
      <c r="AH21" s="7">
        <v>82.3</v>
      </c>
      <c r="AI21" s="7" t="s">
        <v>733</v>
      </c>
      <c r="AJ21" s="7">
        <f t="shared" si="66"/>
        <v>9.3928864543527042E-6</v>
      </c>
      <c r="AK21" s="46">
        <f t="shared" si="67"/>
        <v>0.11111111111111109</v>
      </c>
      <c r="AL21" s="46">
        <f t="shared" si="68"/>
        <v>0.88888888888888884</v>
      </c>
      <c r="AM21" s="7">
        <v>24.4</v>
      </c>
      <c r="AN21" s="7">
        <v>24.4</v>
      </c>
      <c r="AO21" s="10">
        <v>23.6</v>
      </c>
      <c r="AP21" s="7">
        <f>AVERAGE(AM21:AN21)</f>
        <v>24.4</v>
      </c>
      <c r="AQ21" s="7">
        <f t="shared" si="7"/>
        <v>0.46188021535169899</v>
      </c>
      <c r="AR21" s="7">
        <v>84.4</v>
      </c>
      <c r="AS21" s="7" t="s">
        <v>671</v>
      </c>
      <c r="AT21" s="7">
        <f t="shared" si="8"/>
        <v>45.171873763513574</v>
      </c>
      <c r="AU21" s="7">
        <f t="shared" si="9"/>
        <v>12.699208415745593</v>
      </c>
      <c r="AV21" s="46">
        <f t="shared" si="10"/>
        <v>114.29287574171036</v>
      </c>
      <c r="AW21" s="7">
        <v>20.7</v>
      </c>
      <c r="AX21" s="7">
        <v>20.8</v>
      </c>
      <c r="AY21" s="7">
        <v>20.3</v>
      </c>
      <c r="AZ21" s="7">
        <f t="shared" si="69"/>
        <v>20.599999999999998</v>
      </c>
      <c r="BA21" s="7">
        <f t="shared" si="11"/>
        <v>0.26457513110645881</v>
      </c>
      <c r="BB21" s="7">
        <v>88.4</v>
      </c>
      <c r="BC21" s="7" t="s">
        <v>685</v>
      </c>
      <c r="BD21" s="7">
        <f t="shared" si="12"/>
        <v>629.19040239949061</v>
      </c>
      <c r="BE21" s="7">
        <f t="shared" si="13"/>
        <v>176.88484863587536</v>
      </c>
      <c r="BF21" s="46">
        <f t="shared" si="14"/>
        <v>1591.9636377228785</v>
      </c>
      <c r="BG21" s="7">
        <v>20.9</v>
      </c>
      <c r="BH21" s="7">
        <v>21</v>
      </c>
      <c r="BI21" s="7">
        <v>20.399999999999999</v>
      </c>
      <c r="BJ21" s="7">
        <f t="shared" si="15"/>
        <v>20.766666666666666</v>
      </c>
      <c r="BK21" s="7">
        <f t="shared" si="16"/>
        <v>0.32145502536643233</v>
      </c>
      <c r="BL21" s="7">
        <v>83.7</v>
      </c>
      <c r="BM21" s="7" t="s">
        <v>743</v>
      </c>
      <c r="BN21" s="7">
        <f t="shared" si="17"/>
        <v>560.54492296391027</v>
      </c>
      <c r="BO21" s="7">
        <f t="shared" si="18"/>
        <v>157.58648490814923</v>
      </c>
      <c r="BP21" s="46">
        <f t="shared" si="19"/>
        <v>1418.2783641733433</v>
      </c>
      <c r="BQ21" s="7">
        <v>25.4</v>
      </c>
      <c r="BR21" s="7">
        <v>25.5</v>
      </c>
      <c r="BS21" s="7">
        <v>25.6</v>
      </c>
      <c r="BT21" s="7">
        <f t="shared" si="20"/>
        <v>25.5</v>
      </c>
      <c r="BU21" s="7">
        <f t="shared" si="21"/>
        <v>0.10000000000000142</v>
      </c>
      <c r="BV21" s="7">
        <v>82.1</v>
      </c>
      <c r="BX21" s="7">
        <f t="shared" si="22"/>
        <v>21.073424255447062</v>
      </c>
      <c r="BY21" s="7">
        <f t="shared" si="23"/>
        <v>5.9243902091462601</v>
      </c>
      <c r="BZ21" s="46">
        <f t="shared" si="24"/>
        <v>53.319511882316348</v>
      </c>
      <c r="CA21" s="7">
        <v>29.6</v>
      </c>
      <c r="CB21" s="7">
        <v>29.7</v>
      </c>
      <c r="CC21" s="7">
        <v>29.5</v>
      </c>
      <c r="CD21" s="7">
        <f t="shared" si="25"/>
        <v>29.599999999999998</v>
      </c>
      <c r="CE21" s="7">
        <f t="shared" si="26"/>
        <v>9.9999999999999645E-2</v>
      </c>
      <c r="CF21" s="7">
        <v>83.5</v>
      </c>
      <c r="CG21" s="7" t="s">
        <v>685</v>
      </c>
      <c r="CH21" s="7">
        <f t="shared" si="27"/>
        <v>1.2288875046865042</v>
      </c>
      <c r="CI21" s="7">
        <f t="shared" si="70"/>
        <v>0.34547821999194378</v>
      </c>
      <c r="CJ21" s="46">
        <f t="shared" si="28"/>
        <v>3.1093039799274944</v>
      </c>
      <c r="CK21" s="7">
        <v>20.6</v>
      </c>
      <c r="CL21" s="7">
        <v>20.399999999999999</v>
      </c>
      <c r="CM21" s="7">
        <v>19.8</v>
      </c>
      <c r="CN21" s="7">
        <f t="shared" si="29"/>
        <v>20.266666666666666</v>
      </c>
      <c r="CO21" s="7">
        <f t="shared" si="30"/>
        <v>0.41633319989322648</v>
      </c>
      <c r="CP21" s="7">
        <v>82.4</v>
      </c>
      <c r="CQ21" s="7" t="s">
        <v>685</v>
      </c>
      <c r="CR21" s="7">
        <f t="shared" si="31"/>
        <v>792.73023237494294</v>
      </c>
      <c r="CS21" s="7">
        <f t="shared" si="32"/>
        <v>222.86094420380752</v>
      </c>
      <c r="CT21" s="46">
        <f t="shared" si="33"/>
        <v>250.71856222928346</v>
      </c>
      <c r="CU21" s="7">
        <v>21.2</v>
      </c>
      <c r="CV21" s="7">
        <v>21.2</v>
      </c>
      <c r="CW21" s="7">
        <v>20.8</v>
      </c>
      <c r="CX21" s="7">
        <f t="shared" si="34"/>
        <v>21.066666666666666</v>
      </c>
      <c r="CY21" s="7">
        <f t="shared" si="35"/>
        <v>0.23094010767584949</v>
      </c>
      <c r="CZ21" s="7">
        <v>83.4</v>
      </c>
      <c r="DA21" s="7" t="s">
        <v>745</v>
      </c>
      <c r="DB21" s="7">
        <f t="shared" si="36"/>
        <v>455.30395694275711</v>
      </c>
      <c r="DC21" s="7">
        <f t="shared" si="37"/>
        <v>127.99999999999984</v>
      </c>
      <c r="DD21" s="48">
        <f t="shared" si="38"/>
        <v>143.99999999999983</v>
      </c>
      <c r="DE21" s="7">
        <v>19.899999999999999</v>
      </c>
      <c r="DF21" s="7">
        <v>19.899999999999999</v>
      </c>
      <c r="DG21" s="7">
        <v>19.899999999999999</v>
      </c>
      <c r="DH21" s="7">
        <f t="shared" si="39"/>
        <v>19.899999999999999</v>
      </c>
      <c r="DI21" s="7">
        <f t="shared" si="40"/>
        <v>0</v>
      </c>
      <c r="DJ21" s="7">
        <v>82.1</v>
      </c>
      <c r="DL21" s="7">
        <f t="shared" si="41"/>
        <v>1022.12282422666</v>
      </c>
      <c r="DM21" s="7">
        <f t="shared" si="42"/>
        <v>3176.7444722354794</v>
      </c>
      <c r="DN21" s="46">
        <f t="shared" si="43"/>
        <v>3573.8375312649146</v>
      </c>
      <c r="DO21" s="7">
        <v>21.6</v>
      </c>
      <c r="DP21" s="7">
        <v>21.5</v>
      </c>
      <c r="DQ21" s="7">
        <v>21.2</v>
      </c>
      <c r="DR21" s="7">
        <f t="shared" si="44"/>
        <v>21.433333333333334</v>
      </c>
      <c r="DS21" s="7">
        <f t="shared" si="45"/>
        <v>0.20816659994661424</v>
      </c>
      <c r="DT21" s="7">
        <v>81.599999999999994</v>
      </c>
      <c r="DV21" s="7">
        <f t="shared" si="46"/>
        <v>353.12117392696484</v>
      </c>
      <c r="DW21" s="7">
        <f t="shared" si="47"/>
        <v>1097.4960256371601</v>
      </c>
      <c r="DX21" s="46">
        <f t="shared" si="48"/>
        <v>1234.6830288418053</v>
      </c>
      <c r="DY21" s="7">
        <v>22</v>
      </c>
      <c r="DZ21" s="7">
        <v>21.9</v>
      </c>
      <c r="EA21" s="7">
        <v>21.8</v>
      </c>
      <c r="EB21" s="7">
        <f t="shared" si="79"/>
        <v>21.900000000000002</v>
      </c>
      <c r="EC21" s="7">
        <f t="shared" si="49"/>
        <v>9.9999999999999645E-2</v>
      </c>
      <c r="ED21" s="7">
        <v>84</v>
      </c>
      <c r="EF21" s="7">
        <f t="shared" si="50"/>
        <v>255.53070605666449</v>
      </c>
      <c r="EG21" s="7">
        <f t="shared" si="51"/>
        <v>71.837571091799674</v>
      </c>
      <c r="EH21" s="46">
        <f t="shared" si="52"/>
        <v>80.817267478274644</v>
      </c>
      <c r="EI21" s="7">
        <v>22.9</v>
      </c>
      <c r="EJ21" s="7">
        <v>23.1</v>
      </c>
      <c r="EK21" s="7">
        <v>23</v>
      </c>
      <c r="EL21" s="7">
        <f t="shared" si="75"/>
        <v>23</v>
      </c>
      <c r="EM21" s="7">
        <f t="shared" si="53"/>
        <v>0.10000000000000142</v>
      </c>
      <c r="EN21" s="7">
        <v>85.2</v>
      </c>
      <c r="EP21" s="7">
        <f t="shared" si="54"/>
        <v>119.20928955078125</v>
      </c>
      <c r="EQ21" s="7">
        <f t="shared" si="55"/>
        <v>370.50092478473539</v>
      </c>
      <c r="ER21" s="46">
        <f t="shared" si="56"/>
        <v>416.81354038282734</v>
      </c>
      <c r="ES21" s="7">
        <v>22.6</v>
      </c>
      <c r="ET21" s="7">
        <v>22.6</v>
      </c>
      <c r="EU21" s="7">
        <v>22.6</v>
      </c>
      <c r="EV21" s="7">
        <f t="shared" si="76"/>
        <v>22.600000000000005</v>
      </c>
      <c r="EW21" s="7">
        <f t="shared" si="57"/>
        <v>4.3511678576336583E-15</v>
      </c>
      <c r="EX21" s="7">
        <v>81.7</v>
      </c>
      <c r="EZ21" s="7">
        <f t="shared" si="58"/>
        <v>157.2976005998718</v>
      </c>
      <c r="FA21" s="7">
        <f t="shared" si="59"/>
        <v>488.87890120212961</v>
      </c>
      <c r="FB21" s="46">
        <f t="shared" si="60"/>
        <v>549.98876385239589</v>
      </c>
      <c r="FC21" s="7" t="s">
        <v>86</v>
      </c>
      <c r="FD21" s="7" t="s">
        <v>86</v>
      </c>
      <c r="FE21" s="7" t="s">
        <v>86</v>
      </c>
      <c r="FF21" s="7" t="s">
        <v>272</v>
      </c>
      <c r="FG21" s="7" t="s">
        <v>272</v>
      </c>
      <c r="FH21" s="7" t="s">
        <v>823</v>
      </c>
      <c r="FJ21" s="7" t="s">
        <v>272</v>
      </c>
      <c r="FN21" s="7" t="e">
        <f t="shared" si="78"/>
        <v>#DIV/0!</v>
      </c>
      <c r="FO21" s="7" t="e">
        <f t="shared" si="73"/>
        <v>#DIV/0!</v>
      </c>
      <c r="FP21"/>
      <c r="FQ21"/>
      <c r="FR21" s="7" t="e">
        <f t="shared" si="74"/>
        <v>#DIV/0!</v>
      </c>
      <c r="FS21" s="46" t="s">
        <v>831</v>
      </c>
      <c r="FT21" s="7" t="s">
        <v>819</v>
      </c>
    </row>
    <row r="22" spans="1:176" s="7" customFormat="1">
      <c r="A22" s="7" t="s">
        <v>602</v>
      </c>
      <c r="B22" s="7" t="s">
        <v>634</v>
      </c>
      <c r="C22" s="7">
        <v>48</v>
      </c>
      <c r="E22" s="7">
        <v>26.7</v>
      </c>
      <c r="F22" s="7">
        <v>27</v>
      </c>
      <c r="G22" s="7">
        <v>27.3</v>
      </c>
      <c r="H22" s="7">
        <f t="shared" si="0"/>
        <v>27</v>
      </c>
      <c r="I22" s="7">
        <f t="shared" si="1"/>
        <v>0.30000000000000071</v>
      </c>
      <c r="J22" s="7">
        <v>81.3</v>
      </c>
      <c r="K22" s="7" t="s">
        <v>44</v>
      </c>
      <c r="L22" s="46">
        <f t="shared" si="2"/>
        <v>7.4505805969238281</v>
      </c>
      <c r="M22" s="32">
        <v>31.7</v>
      </c>
      <c r="N22" s="32">
        <v>32.1</v>
      </c>
      <c r="O22" s="32">
        <v>32.200000000000003</v>
      </c>
      <c r="P22" s="32">
        <f t="shared" si="3"/>
        <v>32</v>
      </c>
      <c r="Q22" s="32">
        <f t="shared" si="4"/>
        <v>0.2645751311064608</v>
      </c>
      <c r="R22" s="32">
        <v>80.900000000000006</v>
      </c>
      <c r="S22" s="32"/>
      <c r="T22" s="46">
        <f t="shared" si="5"/>
        <v>0.23283064365386963</v>
      </c>
      <c r="U22" s="7">
        <v>19.5</v>
      </c>
      <c r="V22" s="7">
        <v>19.5</v>
      </c>
      <c r="W22" s="7" t="s">
        <v>86</v>
      </c>
      <c r="X22" s="7">
        <f t="shared" si="61"/>
        <v>19.5</v>
      </c>
      <c r="Y22" s="7">
        <f t="shared" si="62"/>
        <v>0</v>
      </c>
      <c r="Z22" s="7">
        <v>86.1</v>
      </c>
      <c r="AA22" s="7" t="s">
        <v>685</v>
      </c>
      <c r="AB22" s="7">
        <f t="shared" si="63"/>
        <v>1.3486991523486102E-6</v>
      </c>
      <c r="AC22" s="7" t="s">
        <v>86</v>
      </c>
      <c r="AD22" s="7">
        <v>15.9</v>
      </c>
      <c r="AE22" s="7" t="s">
        <v>86</v>
      </c>
      <c r="AF22" s="7">
        <f t="shared" si="64"/>
        <v>15.9</v>
      </c>
      <c r="AG22" s="7" t="s">
        <v>272</v>
      </c>
      <c r="AH22" s="7">
        <v>83.2</v>
      </c>
      <c r="AI22" s="7" t="s">
        <v>685</v>
      </c>
      <c r="AJ22" s="7">
        <f t="shared" si="66"/>
        <v>1.6353965187626536E-5</v>
      </c>
      <c r="AK22" s="46">
        <f t="shared" si="67"/>
        <v>7.6186224087356993E-2</v>
      </c>
      <c r="AL22" s="46">
        <f t="shared" si="68"/>
        <v>0.92381377591264302</v>
      </c>
      <c r="AM22" s="7">
        <v>23.5</v>
      </c>
      <c r="AN22" s="7">
        <v>23.7</v>
      </c>
      <c r="AO22" s="7">
        <v>24.4</v>
      </c>
      <c r="AP22" s="7">
        <f t="shared" si="6"/>
        <v>23.866666666666664</v>
      </c>
      <c r="AQ22" s="7">
        <f t="shared" si="7"/>
        <v>0.47258156262526013</v>
      </c>
      <c r="AR22" s="7">
        <v>84.3</v>
      </c>
      <c r="AS22" s="7" t="s">
        <v>669</v>
      </c>
      <c r="AT22" s="7">
        <f t="shared" si="8"/>
        <v>65.375863295473465</v>
      </c>
      <c r="AU22" s="7">
        <f t="shared" si="9"/>
        <v>8.7745998375570409</v>
      </c>
      <c r="AV22" s="46">
        <f t="shared" si="10"/>
        <v>115.17305054383414</v>
      </c>
      <c r="AW22" s="7">
        <v>20.3</v>
      </c>
      <c r="AX22" s="7">
        <v>20.7</v>
      </c>
      <c r="AY22" s="7">
        <v>21.3</v>
      </c>
      <c r="AZ22" s="7">
        <f t="shared" si="69"/>
        <v>20.766666666666666</v>
      </c>
      <c r="BA22" s="7">
        <f t="shared" si="11"/>
        <v>0.50332229568471676</v>
      </c>
      <c r="BB22" s="7">
        <v>88.3</v>
      </c>
      <c r="BC22" s="7" t="s">
        <v>673</v>
      </c>
      <c r="BD22" s="7">
        <f t="shared" si="12"/>
        <v>560.54492296391027</v>
      </c>
      <c r="BE22" s="7">
        <f t="shared" si="13"/>
        <v>75.235066002151058</v>
      </c>
      <c r="BF22" s="46">
        <f t="shared" si="14"/>
        <v>987.51535337785856</v>
      </c>
      <c r="BG22" s="7">
        <v>20.2</v>
      </c>
      <c r="BH22" s="7">
        <v>20.3</v>
      </c>
      <c r="BI22" s="7">
        <v>20.7</v>
      </c>
      <c r="BJ22" s="7">
        <f t="shared" si="15"/>
        <v>20.400000000000002</v>
      </c>
      <c r="BK22" s="7">
        <f t="shared" si="16"/>
        <v>0.26457513110645881</v>
      </c>
      <c r="BL22" s="7">
        <v>83.7</v>
      </c>
      <c r="BM22" s="7" t="s">
        <v>743</v>
      </c>
      <c r="BN22" s="7">
        <f t="shared" si="17"/>
        <v>722.74998021621479</v>
      </c>
      <c r="BO22" s="7">
        <f t="shared" si="18"/>
        <v>97.005860256665301</v>
      </c>
      <c r="BP22" s="46">
        <f t="shared" si="19"/>
        <v>1273.2729757736254</v>
      </c>
      <c r="BQ22" s="7">
        <v>24.7</v>
      </c>
      <c r="BR22" s="7">
        <v>24.8</v>
      </c>
      <c r="BS22" s="7">
        <v>25.4</v>
      </c>
      <c r="BT22" s="7">
        <f t="shared" si="20"/>
        <v>24.966666666666669</v>
      </c>
      <c r="BU22" s="7">
        <f t="shared" si="21"/>
        <v>0.37859388972001751</v>
      </c>
      <c r="BV22" s="7">
        <v>81.900000000000006</v>
      </c>
      <c r="BW22" s="7" t="s">
        <v>750</v>
      </c>
      <c r="BX22" s="7">
        <f t="shared" si="22"/>
        <v>30.498918652438292</v>
      </c>
      <c r="BY22" s="7">
        <f t="shared" si="23"/>
        <v>4.0934955679870892</v>
      </c>
      <c r="BZ22" s="46">
        <f t="shared" si="24"/>
        <v>53.730127946666407</v>
      </c>
      <c r="CA22" s="7">
        <v>29.2</v>
      </c>
      <c r="CB22" s="7">
        <v>29.5</v>
      </c>
      <c r="CC22" s="7">
        <v>29.5</v>
      </c>
      <c r="CD22" s="7">
        <f t="shared" si="25"/>
        <v>29.400000000000002</v>
      </c>
      <c r="CE22" s="7">
        <f t="shared" si="26"/>
        <v>0.17320508075688815</v>
      </c>
      <c r="CF22" s="7">
        <v>83.4</v>
      </c>
      <c r="CG22" s="7" t="s">
        <v>757</v>
      </c>
      <c r="CH22" s="7">
        <f t="shared" si="27"/>
        <v>1.4116210551097961</v>
      </c>
      <c r="CI22" s="7">
        <f t="shared" si="70"/>
        <v>0.18946457081379961</v>
      </c>
      <c r="CJ22" s="46">
        <f t="shared" si="28"/>
        <v>2.4868612808078647</v>
      </c>
      <c r="CK22" s="7">
        <v>20.100000000000001</v>
      </c>
      <c r="CL22" s="7">
        <v>20.3</v>
      </c>
      <c r="CM22" s="7">
        <v>20.6</v>
      </c>
      <c r="CN22" s="7">
        <f t="shared" si="29"/>
        <v>20.333333333333336</v>
      </c>
      <c r="CO22" s="7">
        <f t="shared" si="30"/>
        <v>0.25166114784235838</v>
      </c>
      <c r="CP22" s="7">
        <v>82.2</v>
      </c>
      <c r="CQ22" s="7" t="s">
        <v>685</v>
      </c>
      <c r="CR22" s="7">
        <f t="shared" si="31"/>
        <v>756.93180654916705</v>
      </c>
      <c r="CS22" s="7">
        <f t="shared" si="32"/>
        <v>101.59366732596472</v>
      </c>
      <c r="CT22" s="46">
        <f t="shared" si="33"/>
        <v>109.97202030852974</v>
      </c>
      <c r="CU22" s="7">
        <v>20.9</v>
      </c>
      <c r="CV22" s="7">
        <v>21.1</v>
      </c>
      <c r="CW22" s="7">
        <v>21.7</v>
      </c>
      <c r="CX22" s="7">
        <f t="shared" si="34"/>
        <v>21.233333333333334</v>
      </c>
      <c r="CY22" s="7">
        <f t="shared" si="35"/>
        <v>0.41633319989322648</v>
      </c>
      <c r="CZ22" s="7">
        <v>83.4</v>
      </c>
      <c r="DA22" s="7" t="s">
        <v>745</v>
      </c>
      <c r="DB22" s="7">
        <f t="shared" si="36"/>
        <v>405.62971160452645</v>
      </c>
      <c r="DC22" s="7">
        <f t="shared" si="37"/>
        <v>54.442698300854772</v>
      </c>
      <c r="DD22" s="46">
        <f t="shared" si="38"/>
        <v>58.932546494092271</v>
      </c>
      <c r="DE22" s="7">
        <v>20.8</v>
      </c>
      <c r="DF22" s="7">
        <v>20.6</v>
      </c>
      <c r="DG22" s="7">
        <v>20.8</v>
      </c>
      <c r="DH22" s="7">
        <f t="shared" si="39"/>
        <v>20.733333333333334</v>
      </c>
      <c r="DI22" s="7">
        <f t="shared" si="40"/>
        <v>0.11547005383792475</v>
      </c>
      <c r="DJ22" s="7">
        <v>81.599999999999994</v>
      </c>
      <c r="DL22" s="7">
        <f t="shared" si="41"/>
        <v>573.64703945260806</v>
      </c>
      <c r="DM22" s="7">
        <f t="shared" si="42"/>
        <v>2463.7952738961735</v>
      </c>
      <c r="DN22" s="46">
        <f t="shared" si="43"/>
        <v>2666.9826085481031</v>
      </c>
      <c r="DO22" s="7">
        <v>21.7</v>
      </c>
      <c r="DP22" s="7">
        <v>21.8</v>
      </c>
      <c r="DQ22" s="7">
        <v>22.1</v>
      </c>
      <c r="DR22" s="7">
        <f t="shared" ref="DR22:DR28" si="81">AVERAGE(DO22:DQ22)</f>
        <v>21.866666666666664</v>
      </c>
      <c r="DS22" s="7">
        <f t="shared" si="45"/>
        <v>0.20816659994661424</v>
      </c>
      <c r="DT22" s="7">
        <v>81.2</v>
      </c>
      <c r="DV22" s="7">
        <f t="shared" si="46"/>
        <v>261.50345318189341</v>
      </c>
      <c r="DW22" s="7">
        <f t="shared" si="47"/>
        <v>1123.1487792072994</v>
      </c>
      <c r="DX22" s="46">
        <f t="shared" si="48"/>
        <v>1215.774010403484</v>
      </c>
      <c r="DY22" s="7">
        <v>21.7</v>
      </c>
      <c r="DZ22" s="7">
        <v>21.7</v>
      </c>
      <c r="EA22" s="7">
        <v>22</v>
      </c>
      <c r="EB22" s="7">
        <f t="shared" si="79"/>
        <v>21.8</v>
      </c>
      <c r="EC22" s="7">
        <f t="shared" si="49"/>
        <v>0.17320508075688815</v>
      </c>
      <c r="ED22" s="7">
        <v>83.7</v>
      </c>
      <c r="EF22" s="7">
        <f t="shared" si="50"/>
        <v>273.87102961469526</v>
      </c>
      <c r="EG22" s="7">
        <f t="shared" si="51"/>
        <v>36.758347359905116</v>
      </c>
      <c r="EH22" s="46">
        <f t="shared" si="52"/>
        <v>39.789780492925914</v>
      </c>
      <c r="EI22" s="7">
        <v>21.5</v>
      </c>
      <c r="EJ22" s="7">
        <v>21.7</v>
      </c>
      <c r="EK22" s="7">
        <v>21.9</v>
      </c>
      <c r="EL22" s="7">
        <f t="shared" si="75"/>
        <v>21.7</v>
      </c>
      <c r="EM22" s="7">
        <f t="shared" si="53"/>
        <v>0.19999999999999929</v>
      </c>
      <c r="EN22" s="7">
        <v>84.8</v>
      </c>
      <c r="EP22" s="7">
        <f t="shared" si="54"/>
        <v>293.52770169852192</v>
      </c>
      <c r="EQ22" s="7">
        <f t="shared" si="55"/>
        <v>1260.6918792651952</v>
      </c>
      <c r="ER22" s="46">
        <f t="shared" si="56"/>
        <v>1364.6601859987936</v>
      </c>
      <c r="ES22" s="7">
        <v>22.8</v>
      </c>
      <c r="ET22" s="7">
        <v>23</v>
      </c>
      <c r="EU22" s="7">
        <v>23.2</v>
      </c>
      <c r="EV22" s="7">
        <f t="shared" si="76"/>
        <v>23</v>
      </c>
      <c r="EW22" s="7">
        <f t="shared" si="57"/>
        <v>0.19999999999999929</v>
      </c>
      <c r="EX22" s="7">
        <v>81.5</v>
      </c>
      <c r="EZ22" s="7">
        <f t="shared" si="58"/>
        <v>119.20928955078125</v>
      </c>
      <c r="FA22" s="7">
        <f t="shared" si="59"/>
        <v>512</v>
      </c>
      <c r="FB22" s="46">
        <f t="shared" si="60"/>
        <v>554.22425314473264</v>
      </c>
      <c r="FC22" s="7" t="s">
        <v>86</v>
      </c>
      <c r="FD22" s="7" t="s">
        <v>86</v>
      </c>
      <c r="FE22" s="7" t="s">
        <v>86</v>
      </c>
      <c r="FF22" s="7" t="s">
        <v>272</v>
      </c>
      <c r="FG22" s="7" t="s">
        <v>272</v>
      </c>
      <c r="FH22" s="7" t="s">
        <v>823</v>
      </c>
      <c r="FI22"/>
      <c r="FJ22" s="7" t="s">
        <v>272</v>
      </c>
      <c r="FK22"/>
      <c r="FL22"/>
      <c r="FM22"/>
      <c r="FN22" s="7" t="e">
        <f t="shared" si="78"/>
        <v>#DIV/0!</v>
      </c>
      <c r="FO22" s="7" t="e">
        <f t="shared" si="73"/>
        <v>#DIV/0!</v>
      </c>
      <c r="FP22"/>
      <c r="FQ22"/>
      <c r="FR22" s="7" t="e">
        <f t="shared" si="74"/>
        <v>#DIV/0!</v>
      </c>
      <c r="FS22" s="46" t="s">
        <v>831</v>
      </c>
      <c r="FT22" s="7" t="s">
        <v>819</v>
      </c>
    </row>
    <row r="23" spans="1:176" s="7" customFormat="1">
      <c r="A23" s="7" t="s">
        <v>603</v>
      </c>
      <c r="B23" s="7" t="s">
        <v>634</v>
      </c>
      <c r="C23" s="7">
        <v>48</v>
      </c>
      <c r="E23" s="7">
        <v>27.9</v>
      </c>
      <c r="F23" s="7">
        <v>27.2</v>
      </c>
      <c r="G23" s="7">
        <v>28.4</v>
      </c>
      <c r="H23" s="7">
        <f t="shared" si="0"/>
        <v>27.833333333333332</v>
      </c>
      <c r="I23" s="7">
        <f t="shared" si="1"/>
        <v>0.60277137733417041</v>
      </c>
      <c r="J23" s="7">
        <v>81.3</v>
      </c>
      <c r="K23" s="7" t="s">
        <v>651</v>
      </c>
      <c r="L23" s="46">
        <f t="shared" si="2"/>
        <v>4.1814969789586014</v>
      </c>
      <c r="M23" s="32">
        <v>31.4</v>
      </c>
      <c r="N23" s="57">
        <v>32.4</v>
      </c>
      <c r="O23" s="32">
        <v>31.8</v>
      </c>
      <c r="P23" s="32">
        <f>AVERAGE(M23,O23)</f>
        <v>31.6</v>
      </c>
      <c r="Q23" s="32">
        <f t="shared" si="4"/>
        <v>0.50332229568471654</v>
      </c>
      <c r="R23" s="32">
        <v>81</v>
      </c>
      <c r="S23" s="32" t="s">
        <v>671</v>
      </c>
      <c r="T23" s="46">
        <f t="shared" si="5"/>
        <v>0.307221876171626</v>
      </c>
      <c r="U23" s="7" t="s">
        <v>715</v>
      </c>
      <c r="X23" s="42"/>
      <c r="Y23" s="42"/>
      <c r="Z23" s="42"/>
      <c r="AA23" s="42"/>
      <c r="AB23" s="42"/>
      <c r="AC23" s="7" t="s">
        <v>715</v>
      </c>
      <c r="AF23" s="42"/>
      <c r="AG23" s="42"/>
      <c r="AH23" s="42"/>
      <c r="AI23" s="42"/>
      <c r="AJ23" s="42"/>
      <c r="AK23" s="46">
        <v>2.7E-2</v>
      </c>
      <c r="AL23" s="46">
        <f>1-0.027</f>
        <v>0.97299999999999998</v>
      </c>
      <c r="AM23" s="7">
        <v>24.9</v>
      </c>
      <c r="AN23" s="7">
        <v>24.2</v>
      </c>
      <c r="AO23" s="7">
        <v>23.9</v>
      </c>
      <c r="AP23" s="7">
        <f t="shared" si="6"/>
        <v>24.333333333333332</v>
      </c>
      <c r="AQ23" s="7">
        <f t="shared" si="7"/>
        <v>0.51316014394468834</v>
      </c>
      <c r="AR23" s="7">
        <v>84.3</v>
      </c>
      <c r="AS23" s="7" t="s">
        <v>673</v>
      </c>
      <c r="AT23" s="7">
        <f t="shared" si="8"/>
        <v>47.308237909323005</v>
      </c>
      <c r="AU23" s="7">
        <f t="shared" si="9"/>
        <v>11.313708498984754</v>
      </c>
      <c r="AV23" s="46">
        <f t="shared" si="10"/>
        <v>419.02624070313902</v>
      </c>
      <c r="AW23" s="7">
        <v>21.5</v>
      </c>
      <c r="AX23" s="7">
        <v>20.7</v>
      </c>
      <c r="AY23" s="7">
        <v>20.6</v>
      </c>
      <c r="AZ23" s="7">
        <f t="shared" si="69"/>
        <v>20.933333333333334</v>
      </c>
      <c r="BA23" s="7">
        <f t="shared" si="11"/>
        <v>0.49328828623162446</v>
      </c>
      <c r="BB23" s="7">
        <v>88.3</v>
      </c>
      <c r="BC23" s="7" t="s">
        <v>673</v>
      </c>
      <c r="BD23" s="7">
        <f t="shared" si="12"/>
        <v>499.38875332862273</v>
      </c>
      <c r="BE23" s="7">
        <f t="shared" si="13"/>
        <v>119.42822291671131</v>
      </c>
      <c r="BF23" s="46">
        <f t="shared" si="14"/>
        <v>4423.2675154337521</v>
      </c>
      <c r="BG23" s="7">
        <v>21.3</v>
      </c>
      <c r="BH23" s="7">
        <v>20.6</v>
      </c>
      <c r="BI23" s="7">
        <v>20.6</v>
      </c>
      <c r="BJ23" s="7">
        <f t="shared" si="15"/>
        <v>20.833333333333336</v>
      </c>
      <c r="BK23" s="7">
        <f t="shared" si="16"/>
        <v>0.40414518843273767</v>
      </c>
      <c r="BL23" s="7">
        <v>83.7</v>
      </c>
      <c r="BM23" s="7" t="s">
        <v>743</v>
      </c>
      <c r="BN23" s="7">
        <f t="shared" si="17"/>
        <v>535.23161330669939</v>
      </c>
      <c r="BO23" s="7">
        <f t="shared" si="18"/>
        <v>127.99999999999962</v>
      </c>
      <c r="BP23" s="46">
        <f t="shared" si="19"/>
        <v>4740.7407407407263</v>
      </c>
      <c r="BQ23" s="7">
        <v>26</v>
      </c>
      <c r="BR23" s="7">
        <v>25.5</v>
      </c>
      <c r="BS23" s="7">
        <v>25.1</v>
      </c>
      <c r="BT23" s="7">
        <f t="shared" si="20"/>
        <v>25.533333333333331</v>
      </c>
      <c r="BU23" s="7">
        <f t="shared" si="21"/>
        <v>0.45092497528228875</v>
      </c>
      <c r="BV23" s="7">
        <v>82.1</v>
      </c>
      <c r="BX23" s="7">
        <f t="shared" si="22"/>
        <v>20.592106580254093</v>
      </c>
      <c r="BY23" s="7">
        <f t="shared" si="23"/>
        <v>4.9245776533796617</v>
      </c>
      <c r="BZ23" s="46">
        <f t="shared" si="24"/>
        <v>182.39176493998747</v>
      </c>
      <c r="CA23" s="7">
        <v>30</v>
      </c>
      <c r="CB23" s="7">
        <v>29.4</v>
      </c>
      <c r="CC23" s="7">
        <v>28.9</v>
      </c>
      <c r="CD23" s="7">
        <f t="shared" si="25"/>
        <v>29.433333333333334</v>
      </c>
      <c r="CE23" s="7">
        <f t="shared" si="26"/>
        <v>0.55075705472861092</v>
      </c>
      <c r="CF23" s="7">
        <v>83.5</v>
      </c>
      <c r="CG23" s="7" t="s">
        <v>661</v>
      </c>
      <c r="CH23" s="7">
        <f t="shared" si="27"/>
        <v>1.3793795856522082</v>
      </c>
      <c r="CI23" s="7">
        <f t="shared" si="70"/>
        <v>0.32987697769322355</v>
      </c>
      <c r="CJ23" s="46">
        <f t="shared" si="28"/>
        <v>12.217665840489762</v>
      </c>
      <c r="CK23" s="10">
        <v>20.9</v>
      </c>
      <c r="CL23" s="7">
        <v>20</v>
      </c>
      <c r="CM23" s="7">
        <v>20</v>
      </c>
      <c r="CN23" s="7">
        <f>AVERAGE(CL23:CM23)</f>
        <v>20</v>
      </c>
      <c r="CO23" s="7">
        <f t="shared" si="30"/>
        <v>0.51961524227066236</v>
      </c>
      <c r="CP23" s="7">
        <v>82.3</v>
      </c>
      <c r="CQ23" s="7" t="s">
        <v>671</v>
      </c>
      <c r="CR23" s="7">
        <f t="shared" si="31"/>
        <v>953.67431640625</v>
      </c>
      <c r="CS23" s="7">
        <f t="shared" si="32"/>
        <v>228.07007184392654</v>
      </c>
      <c r="CT23" s="46">
        <f t="shared" si="33"/>
        <v>234.39884053846509</v>
      </c>
      <c r="CU23" s="10">
        <v>22.3</v>
      </c>
      <c r="CV23" s="7">
        <v>21.2</v>
      </c>
      <c r="CW23" s="7">
        <v>21</v>
      </c>
      <c r="CX23" s="7">
        <f>AVERAGE(CV23:CW23)</f>
        <v>21.1</v>
      </c>
      <c r="CY23" s="7">
        <f t="shared" si="35"/>
        <v>0.70000000000000051</v>
      </c>
      <c r="CZ23" s="7">
        <v>83.4</v>
      </c>
      <c r="DA23" s="7" t="s">
        <v>671</v>
      </c>
      <c r="DB23" s="7">
        <f t="shared" si="36"/>
        <v>444.90480019417117</v>
      </c>
      <c r="DC23" s="7">
        <f t="shared" si="37"/>
        <v>106.39845070627658</v>
      </c>
      <c r="DD23" s="46">
        <f t="shared" si="38"/>
        <v>109.35092570018148</v>
      </c>
      <c r="DE23" s="7">
        <v>21</v>
      </c>
      <c r="DF23" s="7">
        <v>21</v>
      </c>
      <c r="DG23" s="7">
        <v>20.8</v>
      </c>
      <c r="DH23" s="7">
        <f t="shared" si="39"/>
        <v>20.933333333333334</v>
      </c>
      <c r="DI23" s="7">
        <f t="shared" si="40"/>
        <v>0.11547005383792475</v>
      </c>
      <c r="DJ23" s="7">
        <v>81.7</v>
      </c>
      <c r="DL23" s="7">
        <f t="shared" si="41"/>
        <v>499.38875332862273</v>
      </c>
      <c r="DM23" s="7">
        <f t="shared" si="42"/>
        <v>1625.4986772154366</v>
      </c>
      <c r="DN23" s="46">
        <f t="shared" si="43"/>
        <v>1670.6050125544057</v>
      </c>
      <c r="DO23" s="10">
        <v>22.4</v>
      </c>
      <c r="DP23" s="7">
        <v>21.6</v>
      </c>
      <c r="DQ23" s="7">
        <v>21.7</v>
      </c>
      <c r="DR23" s="7">
        <f>AVERAGE(DP23:DQ23)</f>
        <v>21.65</v>
      </c>
      <c r="DS23" s="7">
        <f t="shared" si="45"/>
        <v>0.43588989435406622</v>
      </c>
      <c r="DT23" s="7">
        <v>81.3</v>
      </c>
      <c r="DU23" s="7" t="s">
        <v>671</v>
      </c>
      <c r="DV23" s="7">
        <f t="shared" si="46"/>
        <v>303.87893374425499</v>
      </c>
      <c r="DW23" s="7">
        <f t="shared" si="47"/>
        <v>989.11880081904224</v>
      </c>
      <c r="DX23" s="46">
        <f t="shared" si="48"/>
        <v>1016.5660851172069</v>
      </c>
      <c r="DY23" s="7">
        <v>23.5</v>
      </c>
      <c r="DZ23" s="7">
        <v>23</v>
      </c>
      <c r="EA23" s="7">
        <v>22.9</v>
      </c>
      <c r="EB23" s="7">
        <f t="shared" si="79"/>
        <v>23.133333333333336</v>
      </c>
      <c r="EC23" s="7">
        <f t="shared" si="49"/>
        <v>0.32145502536643233</v>
      </c>
      <c r="ED23" s="7">
        <v>83.7</v>
      </c>
      <c r="EF23" s="7">
        <f t="shared" si="50"/>
        <v>108.68579012849503</v>
      </c>
      <c r="EG23" s="7">
        <f t="shared" si="51"/>
        <v>25.992076683399432</v>
      </c>
      <c r="EH23" s="46">
        <f t="shared" si="52"/>
        <v>26.713336776361185</v>
      </c>
      <c r="EI23" s="7">
        <v>20.7</v>
      </c>
      <c r="EJ23" s="7">
        <v>20.8</v>
      </c>
      <c r="EK23" s="7">
        <v>20.7</v>
      </c>
      <c r="EL23" s="7">
        <f t="shared" si="75"/>
        <v>20.733333333333334</v>
      </c>
      <c r="EM23" s="7">
        <f t="shared" si="53"/>
        <v>5.77350269189634E-2</v>
      </c>
      <c r="EN23" s="7">
        <v>84.8</v>
      </c>
      <c r="EP23" s="7">
        <f t="shared" si="54"/>
        <v>573.64703945260806</v>
      </c>
      <c r="EQ23" s="7">
        <f t="shared" si="55"/>
        <v>1867.2076565672253</v>
      </c>
      <c r="ER23" s="46">
        <f t="shared" si="56"/>
        <v>1919.0212297710434</v>
      </c>
      <c r="ES23" s="7">
        <v>23</v>
      </c>
      <c r="ET23" s="7">
        <v>23</v>
      </c>
      <c r="EU23" s="7">
        <v>22.8</v>
      </c>
      <c r="EV23" s="7">
        <f t="shared" si="76"/>
        <v>22.933333333333334</v>
      </c>
      <c r="EW23" s="7">
        <f t="shared" si="57"/>
        <v>0.11547005383792475</v>
      </c>
      <c r="EX23" s="7">
        <v>81.400000000000006</v>
      </c>
      <c r="EZ23" s="7">
        <f t="shared" si="58"/>
        <v>124.84718833215568</v>
      </c>
      <c r="FA23" s="7">
        <f t="shared" si="59"/>
        <v>406.37466930385915</v>
      </c>
      <c r="FB23" s="46">
        <f t="shared" si="60"/>
        <v>417.65125313860142</v>
      </c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</row>
    <row r="24" spans="1:176" s="6" customFormat="1" ht="14" customHeight="1">
      <c r="A24" s="6" t="s">
        <v>604</v>
      </c>
      <c r="B24" s="6" t="s">
        <v>635</v>
      </c>
      <c r="C24" s="6">
        <v>48</v>
      </c>
      <c r="E24" s="6">
        <v>28.9</v>
      </c>
      <c r="F24" s="6">
        <v>29.3</v>
      </c>
      <c r="G24" s="12">
        <v>30</v>
      </c>
      <c r="H24" s="6">
        <f>AVERAGE(E24:F24)</f>
        <v>29.1</v>
      </c>
      <c r="I24" s="6">
        <f t="shared" si="1"/>
        <v>0.55677643628300277</v>
      </c>
      <c r="J24" s="6">
        <v>81.5</v>
      </c>
      <c r="K24" s="6" t="s">
        <v>651</v>
      </c>
      <c r="L24" s="47">
        <f t="shared" si="2"/>
        <v>1.73790937575848</v>
      </c>
      <c r="M24" s="56">
        <v>31.9</v>
      </c>
      <c r="N24" s="56">
        <v>31.8</v>
      </c>
      <c r="O24" s="56">
        <v>31.4</v>
      </c>
      <c r="P24" s="56">
        <f t="shared" si="3"/>
        <v>31.7</v>
      </c>
      <c r="Q24" s="56">
        <f t="shared" si="4"/>
        <v>0.26457513110645947</v>
      </c>
      <c r="R24" s="56">
        <v>81.2</v>
      </c>
      <c r="S24" s="56"/>
      <c r="T24" s="47">
        <f t="shared" si="5"/>
        <v>0.28664814618996254</v>
      </c>
      <c r="U24" s="6">
        <v>20.5</v>
      </c>
      <c r="V24" s="6">
        <v>20.9</v>
      </c>
      <c r="W24" s="6">
        <v>21.1</v>
      </c>
      <c r="X24" s="6">
        <f t="shared" si="61"/>
        <v>20.833333333333332</v>
      </c>
      <c r="Y24" s="6">
        <f t="shared" si="62"/>
        <v>0.30550504633038983</v>
      </c>
      <c r="Z24" s="6">
        <v>85.9</v>
      </c>
      <c r="AA24" s="6" t="s">
        <v>685</v>
      </c>
      <c r="AB24" s="6">
        <f t="shared" si="63"/>
        <v>5.352316133067013E-7</v>
      </c>
      <c r="AC24" s="6">
        <v>17</v>
      </c>
      <c r="AD24" s="6" t="s">
        <v>86</v>
      </c>
      <c r="AE24" s="6" t="s">
        <v>86</v>
      </c>
      <c r="AF24" s="6">
        <f t="shared" si="64"/>
        <v>17</v>
      </c>
      <c r="AG24" s="6" t="s">
        <v>272</v>
      </c>
      <c r="AH24" s="6">
        <v>83.2</v>
      </c>
      <c r="AI24" s="6" t="s">
        <v>685</v>
      </c>
      <c r="AJ24" s="6">
        <f t="shared" si="66"/>
        <v>7.62939453125E-6</v>
      </c>
      <c r="AK24" s="47">
        <f t="shared" si="67"/>
        <v>6.555494444329657E-2</v>
      </c>
      <c r="AL24" s="47">
        <f t="shared" si="68"/>
        <v>0.93444505555670332</v>
      </c>
      <c r="AM24" s="6">
        <v>26.2</v>
      </c>
      <c r="AN24" s="6">
        <v>26.6</v>
      </c>
      <c r="AO24" s="6">
        <v>26.4</v>
      </c>
      <c r="AP24" s="6">
        <f t="shared" si="6"/>
        <v>26.399999999999995</v>
      </c>
      <c r="AQ24" s="6">
        <f t="shared" si="7"/>
        <v>0.20000000000000107</v>
      </c>
      <c r="AR24" s="6">
        <v>84.1</v>
      </c>
      <c r="AS24" s="6" t="s">
        <v>669</v>
      </c>
      <c r="AT24" s="6">
        <f t="shared" si="8"/>
        <v>11.292968440878431</v>
      </c>
      <c r="AU24" s="6">
        <f t="shared" si="9"/>
        <v>6.4980191708499255</v>
      </c>
      <c r="AV24" s="47">
        <f t="shared" si="10"/>
        <v>99.123250367034544</v>
      </c>
      <c r="AW24" s="6">
        <v>23.2</v>
      </c>
      <c r="AX24" s="6">
        <v>23.3</v>
      </c>
      <c r="AY24" s="6">
        <v>23.3</v>
      </c>
      <c r="AZ24" s="6">
        <f t="shared" si="69"/>
        <v>23.266666666666666</v>
      </c>
      <c r="BA24" s="6">
        <f t="shared" si="11"/>
        <v>5.77350269189634E-2</v>
      </c>
      <c r="BB24" s="6">
        <v>88.3</v>
      </c>
      <c r="BC24" s="6" t="s">
        <v>685</v>
      </c>
      <c r="BD24" s="6">
        <f t="shared" si="12"/>
        <v>99.09127904686801</v>
      </c>
      <c r="BE24" s="6">
        <f t="shared" si="13"/>
        <v>57.01751796098192</v>
      </c>
      <c r="BF24" s="47">
        <f t="shared" si="14"/>
        <v>869.76685656870143</v>
      </c>
      <c r="BG24" s="6">
        <v>23.4</v>
      </c>
      <c r="BH24" s="6">
        <v>23.9</v>
      </c>
      <c r="BI24" s="6">
        <v>23.9</v>
      </c>
      <c r="BJ24" s="6">
        <f t="shared" si="15"/>
        <v>23.733333333333331</v>
      </c>
      <c r="BK24" s="6">
        <f t="shared" si="16"/>
        <v>0.28867513459481292</v>
      </c>
      <c r="BL24" s="6">
        <v>83.7</v>
      </c>
      <c r="BM24" s="6" t="s">
        <v>745</v>
      </c>
      <c r="BN24" s="6">
        <f t="shared" si="17"/>
        <v>71.705879931576249</v>
      </c>
      <c r="BO24" s="6">
        <f t="shared" si="18"/>
        <v>41.259849870066716</v>
      </c>
      <c r="BP24" s="47">
        <f t="shared" si="19"/>
        <v>629.39340762855011</v>
      </c>
      <c r="BQ24" s="6">
        <v>27.8</v>
      </c>
      <c r="BR24" s="6">
        <v>27.6</v>
      </c>
      <c r="BS24" s="6">
        <v>28.2</v>
      </c>
      <c r="BT24" s="6">
        <f t="shared" si="20"/>
        <v>27.866666666666671</v>
      </c>
      <c r="BU24" s="6">
        <f t="shared" si="21"/>
        <v>0.30550504633038827</v>
      </c>
      <c r="BV24" s="6">
        <v>82.1</v>
      </c>
      <c r="BW24" s="6" t="s">
        <v>750</v>
      </c>
      <c r="BX24" s="6">
        <f t="shared" si="22"/>
        <v>4.0859914559670605</v>
      </c>
      <c r="BY24" s="6">
        <f t="shared" si="23"/>
        <v>2.3510958125672126</v>
      </c>
      <c r="BZ24" s="47">
        <f t="shared" si="24"/>
        <v>35.864507742827136</v>
      </c>
      <c r="CA24" s="6">
        <v>32.4</v>
      </c>
      <c r="CB24" s="6">
        <v>32.1</v>
      </c>
      <c r="CC24" s="6">
        <v>31.8</v>
      </c>
      <c r="CD24" s="6">
        <f t="shared" si="25"/>
        <v>32.1</v>
      </c>
      <c r="CE24" s="6">
        <f t="shared" si="26"/>
        <v>0.29999999999999893</v>
      </c>
      <c r="CF24" s="6">
        <v>83.5</v>
      </c>
      <c r="CG24" s="6" t="s">
        <v>757</v>
      </c>
      <c r="CH24" s="6">
        <f t="shared" si="27"/>
        <v>0.21723867196981034</v>
      </c>
      <c r="CI24" s="6">
        <f t="shared" si="70"/>
        <v>0.12500000000000019</v>
      </c>
      <c r="CJ24" s="47">
        <f t="shared" si="28"/>
        <v>1.9067974362806783</v>
      </c>
      <c r="CK24" s="6">
        <v>23.3</v>
      </c>
      <c r="CL24" s="6">
        <v>23.3</v>
      </c>
      <c r="CM24" s="12">
        <v>24.9</v>
      </c>
      <c r="CN24" s="6">
        <f>AVERAGE(CK24:CL24)</f>
        <v>23.3</v>
      </c>
      <c r="CO24" s="6">
        <f t="shared" si="30"/>
        <v>0.92376043070339997</v>
      </c>
      <c r="CP24" s="6">
        <v>82.2</v>
      </c>
      <c r="CQ24" s="6" t="s">
        <v>671</v>
      </c>
      <c r="CR24" s="6">
        <f t="shared" si="31"/>
        <v>96.828031105546486</v>
      </c>
      <c r="CS24" s="6">
        <f t="shared" si="32"/>
        <v>55.715236050952079</v>
      </c>
      <c r="CT24" s="47">
        <f t="shared" si="33"/>
        <v>59.623875924689088</v>
      </c>
      <c r="CU24" s="6">
        <v>24.6</v>
      </c>
      <c r="CV24" s="6">
        <v>25.2</v>
      </c>
      <c r="CW24" s="6">
        <v>25.2</v>
      </c>
      <c r="CX24" s="6">
        <f t="shared" si="34"/>
        <v>25</v>
      </c>
      <c r="CY24" s="6">
        <f t="shared" si="35"/>
        <v>0.34641016151377418</v>
      </c>
      <c r="CZ24" s="6">
        <v>83.5</v>
      </c>
      <c r="DB24" s="6">
        <f t="shared" si="36"/>
        <v>29.802322387695312</v>
      </c>
      <c r="DC24" s="6">
        <f t="shared" si="37"/>
        <v>17.148375400580719</v>
      </c>
      <c r="DD24" s="47">
        <f t="shared" si="38"/>
        <v>18.351400436662843</v>
      </c>
      <c r="DE24" s="6">
        <v>22.1</v>
      </c>
      <c r="DF24" s="6">
        <v>22</v>
      </c>
      <c r="DG24" s="12">
        <v>23</v>
      </c>
      <c r="DH24" s="6">
        <f>AVERAGE(DE24:DF24)</f>
        <v>22.05</v>
      </c>
      <c r="DI24" s="6">
        <f t="shared" si="40"/>
        <v>0.55075705472860981</v>
      </c>
      <c r="DJ24" s="6">
        <v>81.900000000000006</v>
      </c>
      <c r="DK24" s="6" t="s">
        <v>671</v>
      </c>
      <c r="DL24" s="6">
        <f t="shared" si="41"/>
        <v>230.29716704484107</v>
      </c>
      <c r="DM24" s="6">
        <f t="shared" si="42"/>
        <v>803.41411624627244</v>
      </c>
      <c r="DN24" s="46">
        <f t="shared" si="43"/>
        <v>859.77673215642608</v>
      </c>
      <c r="DO24" s="6">
        <v>23</v>
      </c>
      <c r="DP24" s="6">
        <v>23.2</v>
      </c>
      <c r="DQ24" s="6">
        <v>23.1</v>
      </c>
      <c r="DR24" s="6">
        <f t="shared" si="81"/>
        <v>23.100000000000005</v>
      </c>
      <c r="DS24" s="6">
        <f t="shared" si="45"/>
        <v>9.9999999999999645E-2</v>
      </c>
      <c r="DT24" s="6">
        <v>81.599999999999994</v>
      </c>
      <c r="DV24" s="6">
        <f t="shared" si="46"/>
        <v>111.22620004854278</v>
      </c>
      <c r="DW24" s="6">
        <f t="shared" si="47"/>
        <v>388.02344102666154</v>
      </c>
      <c r="DX24" s="47">
        <f t="shared" si="48"/>
        <v>415.24479017708899</v>
      </c>
      <c r="DY24" s="6">
        <v>22.9</v>
      </c>
      <c r="DZ24" s="6">
        <v>23</v>
      </c>
      <c r="EA24" s="6">
        <v>22.9</v>
      </c>
      <c r="EB24" s="6">
        <f t="shared" si="79"/>
        <v>22.933333333333334</v>
      </c>
      <c r="EC24" s="6">
        <f t="shared" si="49"/>
        <v>5.77350269189634E-2</v>
      </c>
      <c r="ED24" s="6">
        <v>84</v>
      </c>
      <c r="EF24" s="6">
        <f t="shared" si="50"/>
        <v>124.84718833215568</v>
      </c>
      <c r="EG24" s="7">
        <f t="shared" si="51"/>
        <v>71.837571091800058</v>
      </c>
      <c r="EH24" s="47">
        <f t="shared" si="52"/>
        <v>76.877255291379583</v>
      </c>
      <c r="EI24" s="6">
        <v>21.4</v>
      </c>
      <c r="EJ24" s="6">
        <v>21.2</v>
      </c>
      <c r="EK24" s="6">
        <v>21.1</v>
      </c>
      <c r="EL24" s="6">
        <f t="shared" si="75"/>
        <v>21.233333333333331</v>
      </c>
      <c r="EM24" s="6">
        <f t="shared" si="53"/>
        <v>0.15275252316519336</v>
      </c>
      <c r="EN24" s="6">
        <v>85</v>
      </c>
      <c r="EP24" s="6">
        <f t="shared" si="54"/>
        <v>405.62971160452724</v>
      </c>
      <c r="EQ24" s="6">
        <f t="shared" si="55"/>
        <v>1415.078789087006</v>
      </c>
      <c r="ER24" s="47">
        <f t="shared" si="56"/>
        <v>1514.3520538443656</v>
      </c>
      <c r="ES24" s="6">
        <v>23.6</v>
      </c>
      <c r="ET24" s="6">
        <v>23.4</v>
      </c>
      <c r="EU24" s="6">
        <v>23.4</v>
      </c>
      <c r="EV24" s="6">
        <f t="shared" si="76"/>
        <v>23.466666666666669</v>
      </c>
      <c r="EW24" s="6">
        <f t="shared" si="57"/>
        <v>0.1154700538379268</v>
      </c>
      <c r="EX24" s="6">
        <v>81.7</v>
      </c>
      <c r="EZ24" s="6">
        <f t="shared" si="58"/>
        <v>86.26396879198424</v>
      </c>
      <c r="FA24" s="6">
        <f t="shared" si="59"/>
        <v>300.940264008604</v>
      </c>
      <c r="FB24" s="47">
        <f t="shared" si="60"/>
        <v>322.05239058097038</v>
      </c>
      <c r="FC24" s="6">
        <v>24.4</v>
      </c>
      <c r="FD24" s="6">
        <v>24.3</v>
      </c>
      <c r="FE24" s="12">
        <v>25.3</v>
      </c>
      <c r="FF24" s="6">
        <f>AVERAGE(FC24:FD24)</f>
        <v>24.35</v>
      </c>
      <c r="FG24" s="6">
        <f t="shared" si="71"/>
        <v>0.5507570547286107</v>
      </c>
      <c r="FH24" s="6">
        <v>80.400000000000006</v>
      </c>
      <c r="FI24" s="6" t="s">
        <v>671</v>
      </c>
      <c r="FJ24" s="6">
        <f t="shared" si="72"/>
        <v>46.764856451556135</v>
      </c>
      <c r="FN24" s="6" t="e">
        <f t="shared" si="78"/>
        <v>#DIV/0!</v>
      </c>
      <c r="FO24" s="6" t="e">
        <f t="shared" si="73"/>
        <v>#DIV/0!</v>
      </c>
      <c r="FR24" s="6" t="e">
        <f t="shared" si="74"/>
        <v>#DIV/0!</v>
      </c>
      <c r="FS24" s="47" t="s">
        <v>831</v>
      </c>
      <c r="FT24" s="6" t="s">
        <v>819</v>
      </c>
    </row>
    <row r="25" spans="1:176" s="6" customFormat="1">
      <c r="A25" s="6" t="s">
        <v>605</v>
      </c>
      <c r="B25" s="6" t="s">
        <v>635</v>
      </c>
      <c r="C25" s="6">
        <v>48</v>
      </c>
      <c r="E25" s="6">
        <v>31.9</v>
      </c>
      <c r="F25" s="6">
        <v>31</v>
      </c>
      <c r="G25" s="6">
        <v>31.3</v>
      </c>
      <c r="H25" s="6">
        <f t="shared" si="0"/>
        <v>31.400000000000002</v>
      </c>
      <c r="I25" s="6">
        <f t="shared" si="1"/>
        <v>0.45825756949558316</v>
      </c>
      <c r="J25" s="6">
        <v>81.8</v>
      </c>
      <c r="K25" s="6" t="s">
        <v>652</v>
      </c>
      <c r="L25" s="47">
        <f t="shared" si="2"/>
        <v>0.35290526377744896</v>
      </c>
      <c r="M25" s="56">
        <v>32.299999999999997</v>
      </c>
      <c r="N25" s="56">
        <v>31.3</v>
      </c>
      <c r="O25" s="56">
        <v>32.700000000000003</v>
      </c>
      <c r="P25" s="56">
        <f t="shared" si="3"/>
        <v>32.1</v>
      </c>
      <c r="Q25" s="56">
        <f t="shared" si="4"/>
        <v>0.72111025509279825</v>
      </c>
      <c r="R25" s="56">
        <v>81.099999999999994</v>
      </c>
      <c r="S25" s="56"/>
      <c r="T25" s="47">
        <f t="shared" si="5"/>
        <v>0.21723867196981034</v>
      </c>
      <c r="U25" s="6">
        <v>18</v>
      </c>
      <c r="V25" s="6" t="s">
        <v>86</v>
      </c>
      <c r="W25" s="6" t="s">
        <v>86</v>
      </c>
      <c r="X25" s="6">
        <f t="shared" si="61"/>
        <v>18</v>
      </c>
      <c r="Y25" s="6" t="e">
        <f t="shared" si="62"/>
        <v>#DIV/0!</v>
      </c>
      <c r="Z25" s="6">
        <v>86.2</v>
      </c>
      <c r="AA25" s="6" t="s">
        <v>685</v>
      </c>
      <c r="AB25" s="6">
        <f t="shared" si="63"/>
        <v>3.814697265625E-6</v>
      </c>
      <c r="AC25" s="6" t="s">
        <v>86</v>
      </c>
      <c r="AD25" s="6" t="s">
        <v>86</v>
      </c>
      <c r="AE25" s="6" t="s">
        <v>86</v>
      </c>
      <c r="AF25" s="6" t="s">
        <v>86</v>
      </c>
      <c r="AG25" s="6" t="s">
        <v>86</v>
      </c>
      <c r="AH25" s="6" t="s">
        <v>715</v>
      </c>
      <c r="AJ25" s="6" t="s">
        <v>272</v>
      </c>
      <c r="AK25" s="47">
        <v>2.1000000000000001E-2</v>
      </c>
      <c r="AL25" s="47">
        <f>1-AK25</f>
        <v>0.97899999999999998</v>
      </c>
      <c r="AM25" s="6">
        <v>28.7</v>
      </c>
      <c r="AN25" s="6">
        <v>28.5</v>
      </c>
      <c r="AO25" s="6">
        <v>28</v>
      </c>
      <c r="AP25" s="6">
        <f t="shared" si="6"/>
        <v>28.400000000000002</v>
      </c>
      <c r="AQ25" s="6">
        <f t="shared" si="7"/>
        <v>0.36055512754639862</v>
      </c>
      <c r="AR25" s="6">
        <v>84.3</v>
      </c>
      <c r="AS25" s="6" t="s">
        <v>669</v>
      </c>
      <c r="AT25" s="6">
        <f t="shared" si="8"/>
        <v>2.8232421102195873</v>
      </c>
      <c r="AU25" s="6">
        <f t="shared" si="9"/>
        <v>7.9999999999999876</v>
      </c>
      <c r="AV25" s="47">
        <f t="shared" si="10"/>
        <v>380.95238095238034</v>
      </c>
      <c r="AW25" s="6">
        <v>25.6</v>
      </c>
      <c r="AX25" s="6">
        <v>25</v>
      </c>
      <c r="AY25" s="6">
        <v>25</v>
      </c>
      <c r="AZ25" s="6">
        <f t="shared" si="69"/>
        <v>25.2</v>
      </c>
      <c r="BA25" s="6">
        <f t="shared" si="11"/>
        <v>0.34641016151377624</v>
      </c>
      <c r="BB25" s="6">
        <v>88.4</v>
      </c>
      <c r="BC25" s="6" t="s">
        <v>686</v>
      </c>
      <c r="BD25" s="6">
        <f t="shared" si="12"/>
        <v>25.94442854214088</v>
      </c>
      <c r="BE25" s="6">
        <f t="shared" si="13"/>
        <v>73.516694719810403</v>
      </c>
      <c r="BF25" s="47">
        <f t="shared" si="14"/>
        <v>3500.7949866576382</v>
      </c>
      <c r="BG25" s="6">
        <v>25</v>
      </c>
      <c r="BH25" s="6">
        <v>24.6</v>
      </c>
      <c r="BI25" s="6">
        <v>24.4</v>
      </c>
      <c r="BJ25" s="6">
        <f t="shared" si="15"/>
        <v>24.666666666666668</v>
      </c>
      <c r="BK25" s="6">
        <f t="shared" si="16"/>
        <v>0.30550504633038983</v>
      </c>
      <c r="BL25" s="6">
        <v>83.8</v>
      </c>
      <c r="BM25" s="6" t="s">
        <v>743</v>
      </c>
      <c r="BN25" s="6">
        <f t="shared" si="17"/>
        <v>37.548573312010568</v>
      </c>
      <c r="BO25" s="6">
        <f t="shared" si="18"/>
        <v>106.39845070627695</v>
      </c>
      <c r="BP25" s="50">
        <f t="shared" si="19"/>
        <v>5066.5928907750922</v>
      </c>
      <c r="BQ25" s="6">
        <v>29.6</v>
      </c>
      <c r="BR25" s="6">
        <v>28.4</v>
      </c>
      <c r="BS25" s="6">
        <v>29</v>
      </c>
      <c r="BT25" s="6">
        <f t="shared" si="20"/>
        <v>29</v>
      </c>
      <c r="BU25" s="6">
        <f t="shared" si="21"/>
        <v>0.60000000000000142</v>
      </c>
      <c r="BV25" s="6">
        <v>82.2</v>
      </c>
      <c r="BW25" s="6" t="s">
        <v>754</v>
      </c>
      <c r="BX25" s="6">
        <f t="shared" si="22"/>
        <v>1.862645149230957</v>
      </c>
      <c r="BY25" s="6">
        <f t="shared" si="23"/>
        <v>5.2780316430915821</v>
      </c>
      <c r="BZ25" s="50">
        <f t="shared" si="24"/>
        <v>251.33484014721819</v>
      </c>
      <c r="CA25" s="6">
        <v>34.5</v>
      </c>
      <c r="CB25" s="6">
        <v>35.1</v>
      </c>
      <c r="CC25" s="6">
        <v>34.9</v>
      </c>
      <c r="CD25" s="6">
        <f t="shared" si="25"/>
        <v>34.833333333333336</v>
      </c>
      <c r="CE25" s="6">
        <f t="shared" si="26"/>
        <v>0.30550504633038977</v>
      </c>
      <c r="CF25" s="6">
        <v>83.7</v>
      </c>
      <c r="CH25" s="6">
        <f t="shared" si="27"/>
        <v>3.2667945148113997E-2</v>
      </c>
      <c r="CI25" s="6">
        <f t="shared" si="70"/>
        <v>9.2568597017910259E-2</v>
      </c>
      <c r="CJ25" s="47">
        <f t="shared" si="28"/>
        <v>4.4080284294242977</v>
      </c>
      <c r="CK25" s="6">
        <v>25.9</v>
      </c>
      <c r="CL25" s="6">
        <v>25.4</v>
      </c>
      <c r="CM25" s="6">
        <v>25.4</v>
      </c>
      <c r="CN25" s="6">
        <f>AVERAGE(CK25:CM25)</f>
        <v>25.566666666666663</v>
      </c>
      <c r="CO25" s="6">
        <f t="shared" si="30"/>
        <v>0.28867513459481287</v>
      </c>
      <c r="CP25" s="6">
        <v>82.5</v>
      </c>
      <c r="CR25" s="6">
        <f t="shared" si="31"/>
        <v>20.121782215955761</v>
      </c>
      <c r="CS25" s="6">
        <f t="shared" si="32"/>
        <v>57.017517960981927</v>
      </c>
      <c r="CT25" s="47">
        <f t="shared" si="33"/>
        <v>58.240569929501461</v>
      </c>
      <c r="CU25" s="6">
        <v>27</v>
      </c>
      <c r="CV25" s="6">
        <v>26.7</v>
      </c>
      <c r="CW25" s="6">
        <v>26.5</v>
      </c>
      <c r="CX25" s="6">
        <f t="shared" si="34"/>
        <v>26.733333333333334</v>
      </c>
      <c r="CY25" s="6">
        <f t="shared" si="35"/>
        <v>0.25166114784235838</v>
      </c>
      <c r="CZ25" s="6">
        <v>83.8</v>
      </c>
      <c r="DB25" s="6">
        <f t="shared" si="36"/>
        <v>8.9632349914470115</v>
      </c>
      <c r="DC25" s="6">
        <f t="shared" si="37"/>
        <v>25.398416831491229</v>
      </c>
      <c r="DD25" s="47">
        <f t="shared" si="38"/>
        <v>25.943224546977763</v>
      </c>
      <c r="DE25" s="6">
        <v>21.6</v>
      </c>
      <c r="DF25" s="6">
        <v>21.5</v>
      </c>
      <c r="DG25" s="6">
        <v>21.4</v>
      </c>
      <c r="DH25" s="6">
        <f t="shared" si="39"/>
        <v>21.5</v>
      </c>
      <c r="DI25" s="6">
        <f t="shared" si="40"/>
        <v>0.10000000000000142</v>
      </c>
      <c r="DJ25" s="6">
        <v>82.1</v>
      </c>
      <c r="DL25" s="6">
        <f t="shared" si="41"/>
        <v>337.17478808715248</v>
      </c>
      <c r="DM25" s="6">
        <f t="shared" si="42"/>
        <v>1552.0937641066489</v>
      </c>
      <c r="DN25" s="46">
        <f t="shared" si="43"/>
        <v>1585.3868887708365</v>
      </c>
      <c r="DO25" s="6">
        <v>22.6</v>
      </c>
      <c r="DP25" s="6">
        <v>22.4</v>
      </c>
      <c r="DQ25" s="6">
        <v>22.1</v>
      </c>
      <c r="DR25" s="6">
        <f t="shared" si="81"/>
        <v>22.366666666666664</v>
      </c>
      <c r="DS25" s="6">
        <f t="shared" si="45"/>
        <v>0.25166114784235816</v>
      </c>
      <c r="DT25" s="6">
        <v>81.5</v>
      </c>
      <c r="DV25" s="6">
        <f t="shared" si="46"/>
        <v>184.91086504861588</v>
      </c>
      <c r="DW25" s="6">
        <f t="shared" si="47"/>
        <v>851.18760565021751</v>
      </c>
      <c r="DX25" s="47">
        <f t="shared" si="48"/>
        <v>869.44597104210163</v>
      </c>
      <c r="DY25" s="6">
        <v>21.9</v>
      </c>
      <c r="DZ25" s="6">
        <v>21.8</v>
      </c>
      <c r="EA25" s="6">
        <v>21.7</v>
      </c>
      <c r="EB25" s="6">
        <f t="shared" si="79"/>
        <v>21.8</v>
      </c>
      <c r="EC25" s="6">
        <f t="shared" si="49"/>
        <v>9.9999999999999645E-2</v>
      </c>
      <c r="ED25" s="6">
        <v>84</v>
      </c>
      <c r="EF25" s="6">
        <f t="shared" si="50"/>
        <v>273.87102961469526</v>
      </c>
      <c r="EG25" s="7">
        <f t="shared" si="51"/>
        <v>776.04688205332434</v>
      </c>
      <c r="EH25" s="47">
        <f t="shared" si="52"/>
        <v>792.69344438541816</v>
      </c>
      <c r="EI25" s="6">
        <v>21.2</v>
      </c>
      <c r="EJ25" s="6" t="s">
        <v>86</v>
      </c>
      <c r="EK25" s="6">
        <v>21.4</v>
      </c>
      <c r="EL25" s="6">
        <f t="shared" si="75"/>
        <v>21.299999999999997</v>
      </c>
      <c r="EM25" s="6">
        <f t="shared" si="53"/>
        <v>0.141421356237309</v>
      </c>
      <c r="EN25" s="6">
        <v>85</v>
      </c>
      <c r="EO25" s="6" t="s">
        <v>889</v>
      </c>
      <c r="EP25" s="6">
        <f t="shared" si="54"/>
        <v>387.31212442218663</v>
      </c>
      <c r="EQ25" s="6">
        <f t="shared" si="55"/>
        <v>1782.887553630467</v>
      </c>
      <c r="ER25" s="47">
        <f t="shared" si="56"/>
        <v>1821.1313111649306</v>
      </c>
      <c r="ES25" s="6">
        <v>22</v>
      </c>
      <c r="ET25" s="6">
        <v>21.9</v>
      </c>
      <c r="EU25" s="6">
        <v>21.9</v>
      </c>
      <c r="EV25" s="6">
        <f t="shared" si="76"/>
        <v>21.933333333333334</v>
      </c>
      <c r="EW25" s="6">
        <f t="shared" si="57"/>
        <v>5.77350269189634E-2</v>
      </c>
      <c r="EX25" s="6">
        <v>81.7</v>
      </c>
      <c r="EZ25" s="6">
        <f t="shared" si="58"/>
        <v>249.69437666431136</v>
      </c>
      <c r="FA25" s="6">
        <f t="shared" si="59"/>
        <v>1149.4011374687993</v>
      </c>
      <c r="FB25" s="47">
        <f t="shared" si="60"/>
        <v>1174.0563201928492</v>
      </c>
      <c r="FC25" s="6">
        <v>21.1</v>
      </c>
      <c r="FD25" s="6">
        <v>21.4</v>
      </c>
      <c r="FE25" s="6">
        <v>21.3</v>
      </c>
      <c r="FF25" s="6">
        <f t="shared" si="77"/>
        <v>21.266666666666666</v>
      </c>
      <c r="FG25" s="6">
        <f t="shared" si="71"/>
        <v>0.15275252316519336</v>
      </c>
      <c r="FH25" s="6">
        <v>80.400000000000006</v>
      </c>
      <c r="FJ25" s="6">
        <f t="shared" si="72"/>
        <v>396.36511618747147</v>
      </c>
      <c r="FN25" s="6" t="e">
        <f t="shared" si="78"/>
        <v>#DIV/0!</v>
      </c>
      <c r="FO25" s="6" t="e">
        <f t="shared" si="73"/>
        <v>#DIV/0!</v>
      </c>
      <c r="FR25" s="6" t="e">
        <f t="shared" si="74"/>
        <v>#DIV/0!</v>
      </c>
      <c r="FS25" s="47" t="s">
        <v>831</v>
      </c>
      <c r="FT25" s="6" t="s">
        <v>819</v>
      </c>
    </row>
    <row r="26" spans="1:176" s="6" customFormat="1">
      <c r="A26" s="6" t="s">
        <v>606</v>
      </c>
      <c r="B26" s="6" t="s">
        <v>635</v>
      </c>
      <c r="C26" s="6">
        <v>48</v>
      </c>
      <c r="E26" s="6">
        <v>30.4</v>
      </c>
      <c r="F26" s="6">
        <v>30.1</v>
      </c>
      <c r="G26" s="6">
        <v>30.4</v>
      </c>
      <c r="H26" s="6">
        <f t="shared" si="0"/>
        <v>30.3</v>
      </c>
      <c r="I26" s="6">
        <f t="shared" si="1"/>
        <v>0.17320508075688609</v>
      </c>
      <c r="J26" s="6">
        <v>81.5</v>
      </c>
      <c r="K26" s="6" t="s">
        <v>652</v>
      </c>
      <c r="L26" s="47">
        <f t="shared" si="2"/>
        <v>0.7564689930120827</v>
      </c>
      <c r="M26" s="56" t="s">
        <v>861</v>
      </c>
      <c r="N26" s="56"/>
      <c r="O26" s="56"/>
      <c r="P26" s="56"/>
      <c r="Q26" s="56"/>
      <c r="R26" s="56"/>
      <c r="S26" s="56"/>
      <c r="T26" s="56"/>
      <c r="U26" s="6" t="s">
        <v>715</v>
      </c>
      <c r="X26" s="44"/>
      <c r="Y26" s="44"/>
      <c r="Z26" s="44"/>
      <c r="AA26" s="44"/>
      <c r="AB26" s="44"/>
      <c r="AC26" s="6" t="s">
        <v>715</v>
      </c>
      <c r="AF26" s="44"/>
      <c r="AG26" s="44"/>
      <c r="AH26" s="44"/>
      <c r="AI26" s="44"/>
      <c r="AJ26" s="44"/>
      <c r="AK26" s="47">
        <v>5.0999999999999997E-2</v>
      </c>
      <c r="AL26" s="47">
        <f>1-0.051</f>
        <v>0.94899999999999995</v>
      </c>
      <c r="AM26" s="6">
        <v>27.3</v>
      </c>
      <c r="AN26" s="6">
        <v>26.9</v>
      </c>
      <c r="AO26" s="6">
        <v>27.8</v>
      </c>
      <c r="AP26" s="6">
        <f t="shared" si="6"/>
        <v>27.333333333333332</v>
      </c>
      <c r="AQ26" s="6">
        <f t="shared" si="7"/>
        <v>0.45092497528229047</v>
      </c>
      <c r="AR26" s="6">
        <v>84.3</v>
      </c>
      <c r="AS26" s="6" t="s">
        <v>669</v>
      </c>
      <c r="AT26" s="6">
        <f t="shared" si="8"/>
        <v>5.9135297386653836</v>
      </c>
      <c r="AU26" s="6">
        <f t="shared" si="9"/>
        <v>7.8172797474739717</v>
      </c>
      <c r="AV26" s="47">
        <f t="shared" si="10"/>
        <v>153.27999504850925</v>
      </c>
      <c r="AW26" s="6">
        <v>23.5</v>
      </c>
      <c r="AX26" s="6">
        <v>23.9</v>
      </c>
      <c r="AY26" s="6">
        <v>24.3</v>
      </c>
      <c r="AZ26" s="6">
        <f t="shared" si="69"/>
        <v>23.900000000000002</v>
      </c>
      <c r="BA26" s="6">
        <f t="shared" si="11"/>
        <v>0.40000000000000036</v>
      </c>
      <c r="BB26" s="6">
        <v>88.3</v>
      </c>
      <c r="BC26" s="6" t="s">
        <v>686</v>
      </c>
      <c r="BD26" s="6">
        <f t="shared" si="12"/>
        <v>63.882676514166107</v>
      </c>
      <c r="BE26" s="6">
        <f t="shared" si="13"/>
        <v>84.448506289464987</v>
      </c>
      <c r="BF26" s="47">
        <f t="shared" si="14"/>
        <v>1655.8530644993136</v>
      </c>
      <c r="BG26" s="6">
        <v>23.6</v>
      </c>
      <c r="BH26" s="6">
        <v>24.1</v>
      </c>
      <c r="BI26" s="6">
        <v>23.8</v>
      </c>
      <c r="BJ26" s="6">
        <f t="shared" si="15"/>
        <v>23.833333333333332</v>
      </c>
      <c r="BK26" s="6">
        <f t="shared" si="16"/>
        <v>0.25166114784235838</v>
      </c>
      <c r="BL26" s="6">
        <v>83.7</v>
      </c>
      <c r="BM26" s="6" t="s">
        <v>745</v>
      </c>
      <c r="BN26" s="6">
        <f t="shared" si="17"/>
        <v>66.903951663337651</v>
      </c>
      <c r="BO26" s="6">
        <f t="shared" si="18"/>
        <v>88.442424317937679</v>
      </c>
      <c r="BP26" s="47">
        <f t="shared" si="19"/>
        <v>1734.1651827046605</v>
      </c>
      <c r="BQ26" s="6">
        <v>27.6</v>
      </c>
      <c r="BR26" s="6">
        <v>28.9</v>
      </c>
      <c r="BS26" s="6">
        <v>28.2</v>
      </c>
      <c r="BT26" s="6">
        <f t="shared" si="20"/>
        <v>28.233333333333334</v>
      </c>
      <c r="BU26" s="6">
        <f t="shared" si="21"/>
        <v>0.65064070986476974</v>
      </c>
      <c r="BV26" s="6">
        <v>82.2</v>
      </c>
      <c r="BW26" s="6" t="s">
        <v>751</v>
      </c>
      <c r="BX26" s="6">
        <f t="shared" si="22"/>
        <v>3.1689821219103664</v>
      </c>
      <c r="BY26" s="6">
        <f t="shared" si="23"/>
        <v>4.1891764912825051</v>
      </c>
      <c r="BZ26" s="47">
        <f t="shared" si="24"/>
        <v>82.140715515343246</v>
      </c>
      <c r="CA26" s="6">
        <v>32</v>
      </c>
      <c r="CB26" s="12">
        <v>28.9</v>
      </c>
      <c r="CC26" s="6">
        <v>32.9</v>
      </c>
      <c r="CD26" s="6">
        <f>AVERAGE(CA26,CC26)</f>
        <v>32.450000000000003</v>
      </c>
      <c r="CE26" s="6">
        <f t="shared" si="26"/>
        <v>2.098412098071619</v>
      </c>
      <c r="CF26" s="6">
        <v>83.5</v>
      </c>
      <c r="CG26" s="6" t="s">
        <v>671</v>
      </c>
      <c r="CH26" s="6">
        <f t="shared" si="27"/>
        <v>0.17044200747572155</v>
      </c>
      <c r="CI26" s="6">
        <f>CH26/L26</f>
        <v>0.22531261565270683</v>
      </c>
      <c r="CJ26" s="47">
        <f t="shared" si="28"/>
        <v>4.4178944245628795</v>
      </c>
      <c r="CK26" s="6">
        <v>23.8</v>
      </c>
      <c r="CL26" s="6">
        <v>23.8</v>
      </c>
      <c r="CM26" s="12">
        <v>24.6</v>
      </c>
      <c r="CN26" s="6">
        <f>AVERAGE(CK26:CL26)</f>
        <v>23.8</v>
      </c>
      <c r="CO26" s="6">
        <f t="shared" si="30"/>
        <v>0.46188021535170104</v>
      </c>
      <c r="CP26" s="6">
        <v>82.4</v>
      </c>
      <c r="CQ26" s="6" t="s">
        <v>671</v>
      </c>
      <c r="CR26" s="6">
        <f t="shared" si="31"/>
        <v>68.467757403673801</v>
      </c>
      <c r="CS26" s="6">
        <f t="shared" si="32"/>
        <v>90.50966799187789</v>
      </c>
      <c r="CT26" s="47">
        <f t="shared" si="33"/>
        <v>95.373728126320231</v>
      </c>
      <c r="CU26" s="6">
        <v>25.7</v>
      </c>
      <c r="CV26" s="6">
        <v>25.3</v>
      </c>
      <c r="CW26" s="6">
        <v>26.7</v>
      </c>
      <c r="CX26" s="6">
        <f>AVERAGE(CU26:CW26)</f>
        <v>25.900000000000002</v>
      </c>
      <c r="CY26" s="6">
        <f t="shared" si="35"/>
        <v>0.72111025509279725</v>
      </c>
      <c r="CZ26" s="6">
        <v>83.7</v>
      </c>
      <c r="DA26" s="6" t="s">
        <v>751</v>
      </c>
      <c r="DB26" s="6">
        <f t="shared" si="36"/>
        <v>15.970669128541523</v>
      </c>
      <c r="DC26" s="6">
        <f t="shared" si="37"/>
        <v>21.11212657236624</v>
      </c>
      <c r="DD26" s="47">
        <f t="shared" si="38"/>
        <v>22.246708716929653</v>
      </c>
      <c r="DE26" t="s">
        <v>863</v>
      </c>
      <c r="DF26"/>
      <c r="DG26"/>
      <c r="DJ26"/>
      <c r="DK26"/>
      <c r="DM26" s="7"/>
      <c r="DN26" s="32"/>
      <c r="DO26"/>
      <c r="DP26"/>
      <c r="DQ26"/>
      <c r="DT26"/>
      <c r="DU26"/>
      <c r="DV26" s="6">
        <f>AVERAGE(DR3:DR25)</f>
        <v>21.749275362318837</v>
      </c>
      <c r="DW26" s="6">
        <f>MIN(DR3:DR25)</f>
        <v>20.533333333333331</v>
      </c>
      <c r="DX26" s="56">
        <f t="shared" si="48"/>
        <v>21.636810677906567</v>
      </c>
      <c r="DY26" t="s">
        <v>857</v>
      </c>
      <c r="DZ26">
        <f>AVERAGE(EB3:EB25)</f>
        <v>21.937681159420293</v>
      </c>
      <c r="EA26"/>
      <c r="ED26"/>
      <c r="EE26"/>
      <c r="EG26" s="7" t="s">
        <v>927</v>
      </c>
      <c r="EH26" s="47" t="s">
        <v>927</v>
      </c>
      <c r="EI26" t="s">
        <v>864</v>
      </c>
      <c r="EJ26"/>
      <c r="EK26"/>
      <c r="EL26" s="6">
        <f>AVERAGE(EL3:EL25)</f>
        <v>21.378030303030304</v>
      </c>
      <c r="EM26" s="6">
        <f>STDEV(EL3:EL25)</f>
        <v>0.9711906504189991</v>
      </c>
      <c r="EN26"/>
      <c r="EO26"/>
      <c r="EP26" s="6">
        <f t="shared" si="54"/>
        <v>366.92020761602714</v>
      </c>
      <c r="EQ26" s="7"/>
      <c r="ER26" s="56"/>
      <c r="ES26" t="s">
        <v>865</v>
      </c>
      <c r="ET26"/>
      <c r="EU26"/>
      <c r="EX26"/>
      <c r="EY26"/>
      <c r="FA26" s="7"/>
      <c r="FB26" s="56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</row>
    <row r="27" spans="1:176" s="23" customFormat="1">
      <c r="A27" s="23" t="s">
        <v>654</v>
      </c>
      <c r="D27" s="23" t="s">
        <v>643</v>
      </c>
      <c r="E27" s="23">
        <v>32.4</v>
      </c>
      <c r="F27" s="23">
        <v>32.4</v>
      </c>
      <c r="G27" s="23" t="s">
        <v>86</v>
      </c>
      <c r="H27" s="23">
        <f>AVERAGE(E27:G27)</f>
        <v>32.4</v>
      </c>
      <c r="I27" s="23">
        <f>STDEV(E27:G27)</f>
        <v>0</v>
      </c>
      <c r="J27" s="23">
        <v>81.900000000000006</v>
      </c>
      <c r="L27" s="23" t="s">
        <v>643</v>
      </c>
      <c r="M27" s="56">
        <v>34</v>
      </c>
      <c r="N27" s="23" t="s">
        <v>86</v>
      </c>
      <c r="O27" s="56">
        <v>34.6</v>
      </c>
      <c r="P27" s="32">
        <f t="shared" si="3"/>
        <v>34.299999999999997</v>
      </c>
      <c r="Q27" s="56">
        <f>P27-N25</f>
        <v>2.9999999999999964</v>
      </c>
      <c r="U27" s="23">
        <v>20.5</v>
      </c>
      <c r="V27" s="23">
        <v>20.6</v>
      </c>
      <c r="W27" s="23">
        <v>20.5</v>
      </c>
      <c r="X27" s="23">
        <f t="shared" si="61"/>
        <v>20.533333333333335</v>
      </c>
      <c r="Y27" s="7"/>
      <c r="AB27" s="23" t="s">
        <v>643</v>
      </c>
      <c r="AC27" s="23">
        <v>19.5</v>
      </c>
      <c r="AD27" s="23">
        <v>19.7</v>
      </c>
      <c r="AE27" s="23">
        <v>20.399999999999999</v>
      </c>
      <c r="AF27" s="23">
        <f t="shared" si="64"/>
        <v>19.866666666666667</v>
      </c>
      <c r="AG27" s="7"/>
      <c r="AH27" s="23">
        <v>83.4</v>
      </c>
      <c r="AM27" s="23">
        <v>29.4</v>
      </c>
      <c r="AN27" s="23" t="s">
        <v>86</v>
      </c>
      <c r="AO27" s="23">
        <v>29.8</v>
      </c>
      <c r="AP27" s="23">
        <f t="shared" si="6"/>
        <v>29.6</v>
      </c>
      <c r="AR27" s="23">
        <v>84.4</v>
      </c>
      <c r="AS27" s="23" t="s">
        <v>670</v>
      </c>
      <c r="AU27" s="6">
        <f>AVERAGE(AU3:AU26)</f>
        <v>11.912374558588432</v>
      </c>
      <c r="AV27" s="23" t="s">
        <v>643</v>
      </c>
      <c r="AW27" s="23">
        <v>27</v>
      </c>
      <c r="AX27" s="23">
        <v>26.8</v>
      </c>
      <c r="AY27" s="23">
        <v>25.5</v>
      </c>
      <c r="AZ27" s="23">
        <f>AVERAGE(AW27:AX27)</f>
        <v>26.9</v>
      </c>
      <c r="BF27" s="23" t="s">
        <v>643</v>
      </c>
      <c r="BG27" s="6">
        <v>26.8</v>
      </c>
      <c r="BH27" s="6">
        <v>28.2</v>
      </c>
      <c r="BI27" s="6">
        <v>26.9</v>
      </c>
      <c r="BJ27" s="6">
        <f t="shared" si="15"/>
        <v>27.3</v>
      </c>
      <c r="BK27" s="6"/>
      <c r="BL27" s="23">
        <f>BJ27-BJ26</f>
        <v>3.4666666666666686</v>
      </c>
      <c r="BN27" s="6"/>
      <c r="BO27" s="6">
        <f>AVERAGE(BJ3:BJ26)</f>
        <v>21.754166666666666</v>
      </c>
      <c r="BP27" s="23" t="s">
        <v>643</v>
      </c>
      <c r="BQ27" s="23" t="s">
        <v>86</v>
      </c>
      <c r="BR27" s="23" t="s">
        <v>86</v>
      </c>
      <c r="BS27" s="23" t="s">
        <v>86</v>
      </c>
      <c r="BT27" s="23" t="s">
        <v>755</v>
      </c>
      <c r="BX27" s="6"/>
      <c r="BZ27" s="23" t="s">
        <v>643</v>
      </c>
      <c r="CA27" s="23">
        <v>36.4</v>
      </c>
      <c r="CB27" s="23">
        <v>34.700000000000003</v>
      </c>
      <c r="CC27" s="23">
        <v>35.9</v>
      </c>
      <c r="CD27" s="23">
        <f>AVERAGE(CA27:CC27)</f>
        <v>35.666666666666664</v>
      </c>
      <c r="CE27" s="23">
        <f t="shared" si="26"/>
        <v>0.87368949480540814</v>
      </c>
      <c r="CH27" s="6"/>
      <c r="CJ27" s="23" t="s">
        <v>643</v>
      </c>
      <c r="CK27" t="s">
        <v>86</v>
      </c>
      <c r="CL27" t="s">
        <v>802</v>
      </c>
      <c r="CM27"/>
      <c r="CN27" s="23" t="s">
        <v>272</v>
      </c>
      <c r="CQ27" s="23">
        <f>AVERAGE(CN3:CN26)</f>
        <v>21.901388888888892</v>
      </c>
      <c r="CR27" s="6"/>
      <c r="CT27" s="23" t="s">
        <v>643</v>
      </c>
      <c r="CU27" s="23">
        <v>24.3</v>
      </c>
      <c r="CV27" s="23">
        <v>23.7</v>
      </c>
      <c r="CW27" s="23">
        <v>23.4</v>
      </c>
      <c r="CX27" s="23">
        <f>AVERAGE(CU27:CW27)</f>
        <v>23.8</v>
      </c>
      <c r="CY27" s="6">
        <f t="shared" si="35"/>
        <v>0.4582575694955851</v>
      </c>
      <c r="DB27" s="6">
        <f>AVERAGE(CX3:CX26)</f>
        <v>23.404166666666669</v>
      </c>
      <c r="DD27" s="23" t="s">
        <v>643</v>
      </c>
      <c r="DE27">
        <v>24.6</v>
      </c>
      <c r="DF27">
        <v>24.5</v>
      </c>
      <c r="DG27">
        <v>25.1</v>
      </c>
      <c r="DH27" s="23">
        <f>AVERAGE(DE27:DF27)</f>
        <v>24.55</v>
      </c>
      <c r="DI27" s="23">
        <f t="shared" ref="DI27" si="82">STDEV(DE27:DG27)</f>
        <v>0.32145502536643233</v>
      </c>
      <c r="DL27" s="6"/>
      <c r="DN27" s="23" t="s">
        <v>643</v>
      </c>
      <c r="DO27" s="23">
        <v>24.7</v>
      </c>
      <c r="DP27" s="6">
        <v>24.7</v>
      </c>
      <c r="DQ27" s="6">
        <v>25.1</v>
      </c>
      <c r="DR27" s="23">
        <f t="shared" si="81"/>
        <v>24.833333333333332</v>
      </c>
      <c r="DS27" s="6">
        <f>DR27-DR25</f>
        <v>2.4666666666666686</v>
      </c>
      <c r="DT27" s="23">
        <f>10^(1/3.03)</f>
        <v>2.1381245656306764</v>
      </c>
      <c r="DV27" s="6">
        <f>STDEV(DR3:DR25)</f>
        <v>0.6686047257646992</v>
      </c>
      <c r="DW27" s="6">
        <f>MAX(DR3:DR25)</f>
        <v>23.100000000000005</v>
      </c>
      <c r="DX27" s="23" t="s">
        <v>643</v>
      </c>
      <c r="DY27" s="23">
        <v>24.8</v>
      </c>
      <c r="DZ27" s="23">
        <v>24.7</v>
      </c>
      <c r="EA27" s="23">
        <v>25.3</v>
      </c>
      <c r="EB27" s="23">
        <f>AVERAGE(DY27:EA27)</f>
        <v>24.933333333333334</v>
      </c>
      <c r="EC27" s="6">
        <f>EB27-EB25</f>
        <v>3.1333333333333329</v>
      </c>
      <c r="ED27" s="23">
        <f>AVERAGE(EC27:EC28)</f>
        <v>3.4666666666666668</v>
      </c>
      <c r="EE27" s="23">
        <f>AVERAGE(EB3:EB25)</f>
        <v>21.937681159420293</v>
      </c>
      <c r="EF27" s="6">
        <f>MIN(EB3:EB25)</f>
        <v>20.133333333333336</v>
      </c>
      <c r="EH27" s="23" t="s">
        <v>643</v>
      </c>
      <c r="EL27" s="23" t="e">
        <f>AVERAGE(EI27:EK27)</f>
        <v>#DIV/0!</v>
      </c>
      <c r="EP27" s="6"/>
      <c r="ER27" s="23" t="s">
        <v>643</v>
      </c>
      <c r="ES27">
        <v>25.3</v>
      </c>
      <c r="ET27">
        <v>25.1</v>
      </c>
      <c r="EU27">
        <v>25.5</v>
      </c>
      <c r="EV27" s="23">
        <f>AVERAGE(ES27:EU27)</f>
        <v>25.3</v>
      </c>
      <c r="EW27" s="6">
        <f>EV27-EV25</f>
        <v>3.3666666666666671</v>
      </c>
      <c r="EX27" s="23">
        <f>AVERAGE(EV3:EV25)</f>
        <v>22.126086956521739</v>
      </c>
      <c r="EY27" s="23">
        <f>MIN(EV3:EV25)</f>
        <v>20.633333333333336</v>
      </c>
      <c r="EZ27" s="6"/>
      <c r="FB27" s="23" t="s">
        <v>643</v>
      </c>
      <c r="FC27" s="23">
        <v>20.5</v>
      </c>
      <c r="FD27" s="23">
        <v>20.5</v>
      </c>
      <c r="FE27" s="23">
        <v>20.6</v>
      </c>
      <c r="FF27" s="23">
        <f>AVERAGE(FC27:FE27)</f>
        <v>20.533333333333335</v>
      </c>
      <c r="FH27" s="23">
        <v>80.400000000000006</v>
      </c>
      <c r="FI27" s="23">
        <f>FF28-FF27</f>
        <v>3.4166666666666679</v>
      </c>
      <c r="FJ27" s="23" t="s">
        <v>643</v>
      </c>
      <c r="FN27" s="23" t="e">
        <f>AVERAGE(FK27:FM27)</f>
        <v>#DIV/0!</v>
      </c>
      <c r="FR27" s="6"/>
      <c r="FS27" s="23" t="s">
        <v>835</v>
      </c>
    </row>
    <row r="28" spans="1:176" s="23" customFormat="1">
      <c r="A28" s="23" t="s">
        <v>655</v>
      </c>
      <c r="D28" s="23" t="s">
        <v>644</v>
      </c>
      <c r="E28" s="23" t="s">
        <v>86</v>
      </c>
      <c r="F28" s="23" t="s">
        <v>86</v>
      </c>
      <c r="G28" s="23" t="s">
        <v>86</v>
      </c>
      <c r="H28" s="23" t="s">
        <v>86</v>
      </c>
      <c r="L28" s="23" t="s">
        <v>644</v>
      </c>
      <c r="O28" s="23">
        <f>AVERAGE(P3:P25)</f>
        <v>31.436956521739138</v>
      </c>
      <c r="P28" s="32" t="s">
        <v>86</v>
      </c>
      <c r="Q28" s="23">
        <f>40.2-P25</f>
        <v>8.1000000000000014</v>
      </c>
      <c r="U28" s="23">
        <v>24.5</v>
      </c>
      <c r="V28" s="23">
        <v>23.9</v>
      </c>
      <c r="W28" s="23">
        <v>23.8</v>
      </c>
      <c r="X28" s="23">
        <f t="shared" si="61"/>
        <v>24.066666666666666</v>
      </c>
      <c r="Y28" s="23">
        <f>X28-X25</f>
        <v>6.0666666666666664</v>
      </c>
      <c r="AB28" s="23" t="s">
        <v>644</v>
      </c>
      <c r="AC28" s="23">
        <v>24.9</v>
      </c>
      <c r="AD28" s="23">
        <v>25.2</v>
      </c>
      <c r="AF28" s="23">
        <f t="shared" si="64"/>
        <v>25.049999999999997</v>
      </c>
      <c r="AG28" s="7"/>
      <c r="AH28" s="23">
        <v>83.8</v>
      </c>
      <c r="AM28" s="23" t="s">
        <v>86</v>
      </c>
      <c r="AN28" s="23">
        <v>32.4</v>
      </c>
      <c r="AO28" s="23">
        <v>32.9</v>
      </c>
      <c r="AP28" s="23">
        <f t="shared" si="6"/>
        <v>32.65</v>
      </c>
      <c r="AQ28" s="23">
        <f>AP28-AP27</f>
        <v>3.0499999999999972</v>
      </c>
      <c r="AV28" s="23" t="s">
        <v>644</v>
      </c>
      <c r="AW28" s="23">
        <v>30.1</v>
      </c>
      <c r="AX28" s="23">
        <v>31</v>
      </c>
      <c r="AY28" s="23">
        <v>28.8</v>
      </c>
      <c r="AZ28" s="23">
        <f>AVERAGE(AW28:AY28)</f>
        <v>29.966666666666669</v>
      </c>
      <c r="BA28" s="23">
        <f>AZ28-AZ26</f>
        <v>6.0666666666666664</v>
      </c>
      <c r="BC28" s="23">
        <f>MIN(AZ3:AZ26)</f>
        <v>18.833333333333332</v>
      </c>
      <c r="BD28" s="23">
        <v>18.8</v>
      </c>
      <c r="BE28" s="23">
        <v>21.8</v>
      </c>
      <c r="BF28" s="23" t="s">
        <v>644</v>
      </c>
      <c r="BG28" s="23" t="s">
        <v>86</v>
      </c>
      <c r="BH28" s="23" t="s">
        <v>86</v>
      </c>
      <c r="BI28" s="6">
        <v>29.3</v>
      </c>
      <c r="BJ28" s="6">
        <f>BI28-BJ26</f>
        <v>5.4666666666666686</v>
      </c>
      <c r="BL28" s="23">
        <f>BI28-BG27</f>
        <v>2.5</v>
      </c>
      <c r="BN28" s="6"/>
      <c r="BO28" s="6">
        <f>STDEV(BJ3:BJ26)</f>
        <v>1.6173220694495272</v>
      </c>
      <c r="BP28" s="23" t="s">
        <v>644</v>
      </c>
      <c r="BQ28" s="23" t="s">
        <v>86</v>
      </c>
      <c r="BR28" s="23" t="s">
        <v>86</v>
      </c>
      <c r="BS28" s="23" t="s">
        <v>86</v>
      </c>
      <c r="BT28" s="23" t="s">
        <v>755</v>
      </c>
      <c r="BZ28" s="23" t="s">
        <v>644</v>
      </c>
      <c r="CA28" s="23" t="s">
        <v>86</v>
      </c>
      <c r="CB28" s="23" t="s">
        <v>86</v>
      </c>
      <c r="CC28" s="23">
        <v>36.5</v>
      </c>
      <c r="CD28" s="23">
        <f>AVERAGE(CA28:CC28)</f>
        <v>36.5</v>
      </c>
      <c r="CG28" s="23">
        <f>AVERAGE(CD3:CD26)</f>
        <v>30.577083333333334</v>
      </c>
      <c r="CH28" s="6">
        <f>MIN(CD3:CD26)</f>
        <v>27.7</v>
      </c>
      <c r="CI28" s="23">
        <v>30.6</v>
      </c>
      <c r="CJ28" s="23" t="s">
        <v>644</v>
      </c>
      <c r="CK28" s="23" t="s">
        <v>803</v>
      </c>
      <c r="CN28" s="23" t="s">
        <v>272</v>
      </c>
      <c r="CQ28" s="23">
        <f>STDEV(CN3:CN26)</f>
        <v>1.7845412181001112</v>
      </c>
      <c r="CT28" s="23" t="s">
        <v>644</v>
      </c>
      <c r="CU28" s="23">
        <v>27.6</v>
      </c>
      <c r="CV28" s="23" t="s">
        <v>86</v>
      </c>
      <c r="CX28" s="23">
        <f>AVERAGE(CU28:CW28)</f>
        <v>27.6</v>
      </c>
      <c r="CY28" s="6">
        <f>CX28-CX17</f>
        <v>6.1333333333333329</v>
      </c>
      <c r="CZ28" s="23">
        <f>CX28-CX27</f>
        <v>3.8000000000000007</v>
      </c>
      <c r="DA28" s="23">
        <f>AVERAGE(CY29,CZ28)</f>
        <v>3.4333333333333336</v>
      </c>
      <c r="DB28" s="6">
        <f>STDEV(CX3:CX26)</f>
        <v>2.0205301954020389</v>
      </c>
      <c r="DD28" s="23" t="s">
        <v>644</v>
      </c>
      <c r="DE28" s="23">
        <v>28.4</v>
      </c>
      <c r="DF28" s="23">
        <v>28.4</v>
      </c>
      <c r="DH28" s="23">
        <f>28.4-DH25</f>
        <v>6.8999999999999986</v>
      </c>
      <c r="DI28" s="6">
        <f>DH28/2</f>
        <v>3.4499999999999993</v>
      </c>
      <c r="DJ28" s="23">
        <f>10^(1/DI28)</f>
        <v>1.9491940296028529</v>
      </c>
      <c r="DK28" s="23">
        <f>AVERAGE(DH3:DH25)</f>
        <v>21.131884057971014</v>
      </c>
      <c r="DL28" s="23" t="s">
        <v>892</v>
      </c>
      <c r="DN28" s="23" t="s">
        <v>644</v>
      </c>
      <c r="DO28" s="23">
        <v>28.9</v>
      </c>
      <c r="DP28" s="6">
        <v>28.3</v>
      </c>
      <c r="DQ28" s="6">
        <v>28.1</v>
      </c>
      <c r="DR28" s="23">
        <f t="shared" si="81"/>
        <v>28.433333333333337</v>
      </c>
      <c r="DS28" s="23">
        <f>DR28-DR27</f>
        <v>3.600000000000005</v>
      </c>
      <c r="DT28" s="23" t="s">
        <v>872</v>
      </c>
      <c r="DX28" s="23" t="s">
        <v>644</v>
      </c>
      <c r="DY28" s="23">
        <v>28.9</v>
      </c>
      <c r="DZ28" s="23">
        <v>28.8</v>
      </c>
      <c r="EA28" s="23">
        <v>28.5</v>
      </c>
      <c r="EB28" s="23">
        <f>AVERAGE(DY28:EA28)</f>
        <v>28.733333333333334</v>
      </c>
      <c r="EC28" s="23">
        <f>EB28-EB27</f>
        <v>3.8000000000000007</v>
      </c>
      <c r="ED28" s="23">
        <f>10^(1/ED27)</f>
        <v>1.9429496147158305</v>
      </c>
      <c r="EE28" s="23">
        <f>STDEV(EB3:EB25)</f>
        <v>0.69567962176856135</v>
      </c>
      <c r="EF28" s="23">
        <f>MAX(EB3:EB25)</f>
        <v>23.133333333333336</v>
      </c>
      <c r="EH28" s="23" t="s">
        <v>644</v>
      </c>
      <c r="EL28" s="23" t="s">
        <v>674</v>
      </c>
      <c r="EP28" s="6">
        <f>AVERAGE(EL3:EL25)</f>
        <v>21.378030303030304</v>
      </c>
      <c r="ER28" s="23" t="s">
        <v>644</v>
      </c>
      <c r="ES28">
        <v>28.2</v>
      </c>
      <c r="ET28"/>
      <c r="EU28"/>
      <c r="EV28" s="23">
        <f>AVERAGE(ES28:EU28)</f>
        <v>28.2</v>
      </c>
      <c r="EW28" s="23">
        <f>10^(1/EW27)</f>
        <v>1.9816625542394173</v>
      </c>
      <c r="EX28" s="23">
        <f>STDEV(EV3:EV25)</f>
        <v>0.91915400945922177</v>
      </c>
      <c r="EY28" s="23">
        <f>STDEV(EV3:EV25)</f>
        <v>0.91915400945922177</v>
      </c>
      <c r="FB28" s="23" t="s">
        <v>644</v>
      </c>
      <c r="FC28" s="23">
        <v>23.3</v>
      </c>
      <c r="FD28" s="23">
        <v>24.6</v>
      </c>
      <c r="FF28" s="23">
        <f>AVERAGE(FC28:FE28)</f>
        <v>23.950000000000003</v>
      </c>
      <c r="FH28" s="23">
        <v>80.3</v>
      </c>
      <c r="FI28" s="23">
        <f>10^(1/FI27)</f>
        <v>1.961927374280118</v>
      </c>
      <c r="FJ28" s="23" t="s">
        <v>644</v>
      </c>
      <c r="FN28" s="23" t="e">
        <f>AVERAGE(FK28:FM28)</f>
        <v>#DIV/0!</v>
      </c>
      <c r="FS28" s="23" t="s">
        <v>836</v>
      </c>
    </row>
    <row r="29" spans="1:176" s="23" customFormat="1">
      <c r="A29" s="23" t="s">
        <v>656</v>
      </c>
      <c r="D29" s="23" t="s">
        <v>130</v>
      </c>
      <c r="E29" s="23" t="s">
        <v>86</v>
      </c>
      <c r="H29" s="23" t="s">
        <v>86</v>
      </c>
      <c r="L29" s="23" t="s">
        <v>130</v>
      </c>
      <c r="P29" s="32" t="s">
        <v>86</v>
      </c>
      <c r="Q29" s="23">
        <f>Q28/2</f>
        <v>4.0500000000000007</v>
      </c>
      <c r="X29" s="23" t="e">
        <f t="shared" si="61"/>
        <v>#DIV/0!</v>
      </c>
      <c r="Y29" s="23">
        <f>Y28/2</f>
        <v>3.0333333333333332</v>
      </c>
      <c r="AB29" s="23" t="s">
        <v>130</v>
      </c>
      <c r="AC29" s="23" t="s">
        <v>674</v>
      </c>
      <c r="AG29" s="7" t="s">
        <v>737</v>
      </c>
      <c r="AM29" s="23" t="s">
        <v>674</v>
      </c>
      <c r="AQ29" s="23">
        <f>10^(1/3.05)</f>
        <v>2.1274964910401355</v>
      </c>
      <c r="AS29" s="23">
        <f>AVERAGE(AP3:AP26)</f>
        <v>24.949305555555554</v>
      </c>
      <c r="AT29" s="23">
        <f>STDEV(AP3:AP26)</f>
        <v>1.8485108196606741</v>
      </c>
      <c r="AV29" s="23" t="s">
        <v>130</v>
      </c>
      <c r="AW29" s="23" t="s">
        <v>86</v>
      </c>
      <c r="AX29" s="23" t="s">
        <v>86</v>
      </c>
      <c r="AY29" s="23">
        <f>AVERAGE(AZ3:AZ26)</f>
        <v>21.849305555555549</v>
      </c>
      <c r="BA29" s="23">
        <f>BA28/2</f>
        <v>3.0333333333333332</v>
      </c>
      <c r="BC29" s="23">
        <f>MAX(AZ3:AZ26)</f>
        <v>25.2</v>
      </c>
      <c r="BD29" s="23">
        <v>25.2</v>
      </c>
      <c r="BE29" s="23">
        <v>1.82</v>
      </c>
      <c r="BF29" s="23" t="s">
        <v>130</v>
      </c>
      <c r="BG29" s="23" t="s">
        <v>18</v>
      </c>
      <c r="BI29" s="23" t="s">
        <v>742</v>
      </c>
      <c r="BL29" s="23">
        <f>AVERAGE(BL27:BL28)</f>
        <v>2.9833333333333343</v>
      </c>
      <c r="BM29" s="23">
        <f>10^(1/2.98)</f>
        <v>2.1655612406317561</v>
      </c>
      <c r="BN29" s="25">
        <v>1.17</v>
      </c>
      <c r="BO29" s="23">
        <f>MIN(BJ3:BJ26)</f>
        <v>19.066666666666666</v>
      </c>
      <c r="BP29" s="23" t="s">
        <v>130</v>
      </c>
      <c r="BS29" s="23" t="s">
        <v>756</v>
      </c>
      <c r="BZ29" s="23" t="s">
        <v>130</v>
      </c>
      <c r="CA29" s="23" t="s">
        <v>86</v>
      </c>
      <c r="CB29" s="23" t="s">
        <v>86</v>
      </c>
      <c r="CD29" s="6">
        <f>CD27-CD26</f>
        <v>3.2166666666666615</v>
      </c>
      <c r="CG29" s="23">
        <f>STDEV(CD2:CD26)</f>
        <v>1.7417979806263439</v>
      </c>
      <c r="CH29" s="23">
        <f>MAX(CD3:CD26)</f>
        <v>34.833333333333336</v>
      </c>
      <c r="CI29" s="23">
        <v>1.74</v>
      </c>
      <c r="CJ29" s="23" t="s">
        <v>130</v>
      </c>
      <c r="CK29" s="23" t="s">
        <v>86</v>
      </c>
      <c r="CL29" s="23" t="s">
        <v>86</v>
      </c>
      <c r="CM29" s="23" t="s">
        <v>86</v>
      </c>
      <c r="CN29" s="23" t="s">
        <v>272</v>
      </c>
      <c r="CQ29" s="23">
        <f>MIN(CN3:CN26)</f>
        <v>18.833333333333332</v>
      </c>
      <c r="CT29" s="23" t="s">
        <v>130</v>
      </c>
      <c r="CU29" s="23" t="s">
        <v>86</v>
      </c>
      <c r="CY29" s="6">
        <f>CY28/2</f>
        <v>3.0666666666666664</v>
      </c>
      <c r="CZ29" s="23">
        <f>10^(1/CY29)-2</f>
        <v>0.11878532612877191</v>
      </c>
      <c r="DA29" s="23" t="s">
        <v>806</v>
      </c>
      <c r="DB29" s="23">
        <f>MIN(CX3:CX26)</f>
        <v>20.7</v>
      </c>
      <c r="DD29" s="23" t="s">
        <v>130</v>
      </c>
      <c r="DI29" s="47" t="s">
        <v>891</v>
      </c>
      <c r="DJ29" s="52"/>
      <c r="DK29" s="23">
        <f>STDEV(DH3:DH25)</f>
        <v>0.61387395976020487</v>
      </c>
      <c r="DL29" s="23" t="s">
        <v>893</v>
      </c>
      <c r="DN29" s="23" t="s">
        <v>130</v>
      </c>
      <c r="DR29" s="23" t="s">
        <v>86</v>
      </c>
      <c r="DS29" s="23">
        <f>AVERAGE(DS27:DS28)</f>
        <v>3.0333333333333368</v>
      </c>
      <c r="DT29" s="23" t="s">
        <v>873</v>
      </c>
      <c r="DX29" s="23" t="s">
        <v>130</v>
      </c>
      <c r="EB29" s="23">
        <f>EB27-EB26</f>
        <v>24.933333333333334</v>
      </c>
      <c r="ED29" s="23" t="s">
        <v>858</v>
      </c>
      <c r="EH29" s="23" t="s">
        <v>130</v>
      </c>
      <c r="EL29" s="23" t="s">
        <v>674</v>
      </c>
      <c r="EP29" s="23">
        <f>STDEV(EL3:EL26)</f>
        <v>0.94886144377657466</v>
      </c>
      <c r="ER29" s="23" t="s">
        <v>130</v>
      </c>
      <c r="ES29" s="23" t="s">
        <v>86</v>
      </c>
      <c r="ET29" s="23">
        <f>EV28-EV27</f>
        <v>2.8999999999999986</v>
      </c>
      <c r="EU29" s="23">
        <f>AVERAGE(2.9,3.4)</f>
        <v>3.15</v>
      </c>
      <c r="EV29" s="58">
        <v>1.08</v>
      </c>
      <c r="EW29" s="23" t="s">
        <v>869</v>
      </c>
      <c r="EY29" s="23">
        <f>MAX(EV3:EV25)</f>
        <v>23.566666666666666</v>
      </c>
      <c r="FB29" s="23" t="s">
        <v>130</v>
      </c>
      <c r="FC29" s="23" t="s">
        <v>674</v>
      </c>
      <c r="FF29" s="23">
        <f>FF27-FF26</f>
        <v>20.533333333333335</v>
      </c>
      <c r="FI29" s="23" t="s">
        <v>806</v>
      </c>
      <c r="FJ29" s="23" t="s">
        <v>130</v>
      </c>
      <c r="FN29" s="23" t="e">
        <f>FN27-FN26</f>
        <v>#DIV/0!</v>
      </c>
    </row>
    <row r="30" spans="1:176">
      <c r="A30" s="23" t="s">
        <v>657</v>
      </c>
      <c r="D30" t="s">
        <v>153</v>
      </c>
      <c r="I30">
        <f>AVERAGE(H3:H26)</f>
        <v>28.331249999999997</v>
      </c>
      <c r="J30" s="23">
        <v>23.5</v>
      </c>
      <c r="L30" s="23" t="s">
        <v>702</v>
      </c>
      <c r="M30" s="23" t="s">
        <v>862</v>
      </c>
      <c r="N30" s="31"/>
      <c r="O30" s="31"/>
      <c r="P30" s="31" t="s">
        <v>874</v>
      </c>
      <c r="Q30" s="31"/>
      <c r="R30" s="31"/>
      <c r="S30" s="31"/>
      <c r="T30" s="31"/>
      <c r="AB30" s="31" t="s">
        <v>702</v>
      </c>
      <c r="AP30" t="s">
        <v>677</v>
      </c>
      <c r="AV30" s="23" t="s">
        <v>681</v>
      </c>
      <c r="BA30">
        <f>10^(1/BA29)</f>
        <v>2.1363397911526572</v>
      </c>
      <c r="BD30" t="s">
        <v>1091</v>
      </c>
      <c r="BF30" s="23" t="s">
        <v>738</v>
      </c>
      <c r="BM30">
        <f>10^(1/BL27)</f>
        <v>1.9429496147158301</v>
      </c>
      <c r="BN30">
        <f>117+94</f>
        <v>211</v>
      </c>
      <c r="BO30">
        <f>MAX(BJ3:BJ26)</f>
        <v>24.666666666666668</v>
      </c>
      <c r="BP30" s="23" t="s">
        <v>741</v>
      </c>
      <c r="CD30">
        <f>10^(1/CD29)</f>
        <v>2.0458831666274229</v>
      </c>
      <c r="CE30" t="s">
        <v>758</v>
      </c>
      <c r="CI30">
        <v>27.7</v>
      </c>
      <c r="CJ30" s="23" t="s">
        <v>774</v>
      </c>
      <c r="CQ30">
        <f>MAX(CN3:CN26)</f>
        <v>25.566666666666663</v>
      </c>
      <c r="CT30" s="23" t="s">
        <v>777</v>
      </c>
      <c r="CU30" s="23"/>
      <c r="CV30" s="23"/>
      <c r="CW30" s="23"/>
      <c r="CX30" s="23"/>
      <c r="DA30">
        <f>AVERAGE(CX3:CX26)</f>
        <v>23.404166666666669</v>
      </c>
      <c r="DB30">
        <f>MAX(CX3:CX26)</f>
        <v>26.733333333333334</v>
      </c>
      <c r="DD30" t="s">
        <v>785</v>
      </c>
      <c r="DK30">
        <f>MIN(DH3:DH25)</f>
        <v>19.899999999999999</v>
      </c>
      <c r="DN30" t="s">
        <v>870</v>
      </c>
      <c r="DX30" t="s">
        <v>855</v>
      </c>
      <c r="EH30" t="s">
        <v>886</v>
      </c>
      <c r="EP30">
        <f>MIN(EL3:EL26)</f>
        <v>20.066666666666666</v>
      </c>
      <c r="ER30" t="s">
        <v>867</v>
      </c>
      <c r="FB30" t="s">
        <v>809</v>
      </c>
      <c r="FJ30" t="s">
        <v>814</v>
      </c>
    </row>
    <row r="31" spans="1:176">
      <c r="A31" t="s">
        <v>658</v>
      </c>
      <c r="B31" t="s">
        <v>663</v>
      </c>
      <c r="C31" t="s">
        <v>659</v>
      </c>
      <c r="D31" t="s">
        <v>660</v>
      </c>
      <c r="E31" t="s">
        <v>664</v>
      </c>
      <c r="F31" t="s">
        <v>661</v>
      </c>
      <c r="G31" t="s">
        <v>662</v>
      </c>
      <c r="I31">
        <f>STDEV(H3:H26)</f>
        <v>1.695947945064102</v>
      </c>
      <c r="J31">
        <f>I30-J30</f>
        <v>4.8312499999999972</v>
      </c>
      <c r="L31" t="s">
        <v>654</v>
      </c>
      <c r="O31" s="23" t="s">
        <v>820</v>
      </c>
      <c r="P31" s="23"/>
      <c r="Q31" s="23"/>
      <c r="R31" s="23"/>
      <c r="S31" s="23"/>
      <c r="T31" s="23"/>
      <c r="X31" s="31" t="s">
        <v>708</v>
      </c>
      <c r="AB31" s="23" t="s">
        <v>703</v>
      </c>
      <c r="AF31" s="31" t="s">
        <v>708</v>
      </c>
      <c r="AH31" t="s">
        <v>736</v>
      </c>
      <c r="AV31" s="23" t="s">
        <v>682</v>
      </c>
      <c r="AZ31" t="s">
        <v>689</v>
      </c>
      <c r="BD31">
        <f>STDEV(AZ3:AZ26)</f>
        <v>1.8163739902962712</v>
      </c>
      <c r="BF31" s="23" t="s">
        <v>739</v>
      </c>
      <c r="BN31">
        <f>BN30/2</f>
        <v>105.5</v>
      </c>
      <c r="BP31" s="23" t="s">
        <v>752</v>
      </c>
      <c r="BW31" s="49" t="s">
        <v>753</v>
      </c>
      <c r="BX31" s="41"/>
      <c r="BY31" s="41"/>
      <c r="BZ31">
        <f>AVERAGE(BZ3:BZ26)</f>
        <v>83.688285562729277</v>
      </c>
      <c r="CI31">
        <v>34.799999999999997</v>
      </c>
      <c r="CJ31" s="23" t="s">
        <v>775</v>
      </c>
      <c r="CO31" t="s">
        <v>776</v>
      </c>
      <c r="CT31" s="23" t="s">
        <v>804</v>
      </c>
      <c r="CY31" t="s">
        <v>805</v>
      </c>
      <c r="DD31" t="s">
        <v>778</v>
      </c>
      <c r="DI31" t="s">
        <v>820</v>
      </c>
      <c r="DK31">
        <f>MAX(DH3:DH25)</f>
        <v>22.6</v>
      </c>
      <c r="DN31" t="s">
        <v>784</v>
      </c>
      <c r="DS31" t="s">
        <v>820</v>
      </c>
      <c r="DX31" t="s">
        <v>856</v>
      </c>
      <c r="EC31" t="s">
        <v>866</v>
      </c>
      <c r="EH31" t="s">
        <v>796</v>
      </c>
      <c r="EM31" t="s">
        <v>820</v>
      </c>
      <c r="EP31">
        <f>MAX(EL3:EL26)</f>
        <v>23.533333333333331</v>
      </c>
      <c r="ER31" t="s">
        <v>868</v>
      </c>
      <c r="EW31" t="s">
        <v>820</v>
      </c>
      <c r="FB31" t="s">
        <v>810</v>
      </c>
      <c r="FG31" t="s">
        <v>820</v>
      </c>
      <c r="FJ31" t="s">
        <v>810</v>
      </c>
      <c r="FO31" t="s">
        <v>776</v>
      </c>
    </row>
    <row r="32" spans="1:176">
      <c r="A32">
        <v>6</v>
      </c>
      <c r="B32">
        <v>1.85</v>
      </c>
      <c r="C32">
        <v>1.7</v>
      </c>
      <c r="D32">
        <v>0.98</v>
      </c>
      <c r="E32">
        <v>1.1000000000000001</v>
      </c>
      <c r="F32">
        <v>0.48</v>
      </c>
      <c r="G32">
        <v>0.28000000000000003</v>
      </c>
      <c r="K32">
        <f>AVERAGE(H3:H26)</f>
        <v>28.331249999999997</v>
      </c>
      <c r="L32" t="s">
        <v>655</v>
      </c>
      <c r="O32" s="23"/>
      <c r="P32" s="23"/>
      <c r="Q32" s="23"/>
      <c r="R32" s="23"/>
      <c r="S32" s="23"/>
      <c r="T32" s="23"/>
      <c r="X32" t="s">
        <v>709</v>
      </c>
      <c r="AB32" s="23" t="s">
        <v>711</v>
      </c>
      <c r="AF32" t="s">
        <v>709</v>
      </c>
      <c r="AO32" s="31" t="s">
        <v>717</v>
      </c>
      <c r="AP32" s="31" t="s">
        <v>672</v>
      </c>
      <c r="AQ32" s="31"/>
      <c r="AV32" s="23" t="s">
        <v>683</v>
      </c>
      <c r="AX32" t="s">
        <v>684</v>
      </c>
      <c r="BF32" s="2">
        <v>39687</v>
      </c>
      <c r="BI32" t="s">
        <v>726</v>
      </c>
      <c r="BN32" t="s">
        <v>746</v>
      </c>
      <c r="BS32" t="s">
        <v>740</v>
      </c>
      <c r="CC32" t="s">
        <v>852</v>
      </c>
      <c r="CM32" t="s">
        <v>768</v>
      </c>
      <c r="CW32" t="s">
        <v>767</v>
      </c>
      <c r="DG32" t="s">
        <v>769</v>
      </c>
      <c r="DQ32" t="s">
        <v>783</v>
      </c>
      <c r="DV32" t="s">
        <v>826</v>
      </c>
      <c r="DW32" t="s">
        <v>635</v>
      </c>
      <c r="EA32" t="s">
        <v>790</v>
      </c>
      <c r="EK32" t="s">
        <v>795</v>
      </c>
      <c r="EU32" t="s">
        <v>799</v>
      </c>
      <c r="FN32" t="s">
        <v>815</v>
      </c>
    </row>
    <row r="33" spans="1:174">
      <c r="A33">
        <v>12</v>
      </c>
      <c r="B33">
        <v>1.65</v>
      </c>
      <c r="C33">
        <v>0.28999999999999998</v>
      </c>
      <c r="D33">
        <v>0.17</v>
      </c>
      <c r="E33">
        <v>5.71</v>
      </c>
      <c r="F33">
        <v>1.88</v>
      </c>
      <c r="G33">
        <v>1.0900000000000001</v>
      </c>
      <c r="I33" t="s">
        <v>1075</v>
      </c>
      <c r="L33" t="s">
        <v>656</v>
      </c>
      <c r="O33" s="23"/>
      <c r="P33" s="23"/>
      <c r="Q33" s="23"/>
      <c r="R33" s="23"/>
      <c r="S33" s="23"/>
      <c r="T33" s="23"/>
      <c r="X33" t="s">
        <v>710</v>
      </c>
      <c r="AB33" s="23" t="s">
        <v>712</v>
      </c>
      <c r="AF33" t="s">
        <v>713</v>
      </c>
      <c r="AM33" t="s">
        <v>250</v>
      </c>
      <c r="AN33" t="s">
        <v>663</v>
      </c>
      <c r="AO33" t="s">
        <v>659</v>
      </c>
      <c r="AP33" t="s">
        <v>660</v>
      </c>
      <c r="AQ33" t="s">
        <v>664</v>
      </c>
      <c r="AR33" t="s">
        <v>661</v>
      </c>
      <c r="AS33" t="s">
        <v>662</v>
      </c>
      <c r="AT33" t="s">
        <v>854</v>
      </c>
      <c r="AV33" t="s">
        <v>658</v>
      </c>
      <c r="AW33" s="7" t="s">
        <v>663</v>
      </c>
      <c r="AX33" s="7" t="s">
        <v>659</v>
      </c>
      <c r="AY33" s="7" t="s">
        <v>660</v>
      </c>
      <c r="AZ33" s="6" t="s">
        <v>664</v>
      </c>
      <c r="BA33" s="6" t="s">
        <v>661</v>
      </c>
      <c r="BB33" s="6" t="s">
        <v>662</v>
      </c>
      <c r="BC33" s="6" t="s">
        <v>846</v>
      </c>
      <c r="BD33" s="6" t="s">
        <v>847</v>
      </c>
      <c r="BG33" t="s">
        <v>250</v>
      </c>
      <c r="BH33" s="7" t="s">
        <v>663</v>
      </c>
      <c r="BI33" s="7" t="s">
        <v>659</v>
      </c>
      <c r="BJ33" s="7" t="s">
        <v>660</v>
      </c>
      <c r="BK33" s="6" t="s">
        <v>664</v>
      </c>
      <c r="BL33" s="6" t="s">
        <v>661</v>
      </c>
      <c r="BM33" s="6" t="s">
        <v>662</v>
      </c>
      <c r="BN33" s="7" t="s">
        <v>854</v>
      </c>
      <c r="BO33" s="6" t="s">
        <v>882</v>
      </c>
      <c r="BQ33" t="s">
        <v>250</v>
      </c>
      <c r="BR33" s="7" t="s">
        <v>663</v>
      </c>
      <c r="BS33" s="7" t="s">
        <v>659</v>
      </c>
      <c r="BT33" s="7" t="s">
        <v>660</v>
      </c>
      <c r="BU33" s="6" t="s">
        <v>664</v>
      </c>
      <c r="BV33" s="6" t="s">
        <v>661</v>
      </c>
      <c r="BW33" s="6" t="s">
        <v>662</v>
      </c>
      <c r="BX33" s="7" t="s">
        <v>854</v>
      </c>
      <c r="BY33" s="6" t="s">
        <v>882</v>
      </c>
      <c r="CA33" t="s">
        <v>250</v>
      </c>
      <c r="CB33" s="7" t="s">
        <v>663</v>
      </c>
      <c r="CC33" s="7" t="s">
        <v>659</v>
      </c>
      <c r="CD33" s="7" t="s">
        <v>660</v>
      </c>
      <c r="CE33" s="6" t="s">
        <v>664</v>
      </c>
      <c r="CF33" s="6" t="s">
        <v>661</v>
      </c>
      <c r="CG33" s="6" t="s">
        <v>662</v>
      </c>
      <c r="CH33" s="7" t="s">
        <v>854</v>
      </c>
      <c r="CI33" s="6" t="s">
        <v>882</v>
      </c>
      <c r="CK33" t="s">
        <v>250</v>
      </c>
      <c r="CL33" s="7" t="s">
        <v>663</v>
      </c>
      <c r="CM33" s="7" t="s">
        <v>659</v>
      </c>
      <c r="CN33" s="7" t="s">
        <v>660</v>
      </c>
      <c r="CO33" s="6" t="s">
        <v>664</v>
      </c>
      <c r="CP33" s="6" t="s">
        <v>661</v>
      </c>
      <c r="CQ33" s="6" t="s">
        <v>662</v>
      </c>
      <c r="CR33" s="7" t="s">
        <v>854</v>
      </c>
      <c r="CS33" s="6" t="s">
        <v>882</v>
      </c>
      <c r="CU33" t="s">
        <v>250</v>
      </c>
      <c r="CV33" s="7" t="s">
        <v>663</v>
      </c>
      <c r="CW33" s="7" t="s">
        <v>659</v>
      </c>
      <c r="CX33" s="7" t="s">
        <v>660</v>
      </c>
      <c r="CY33" s="6" t="s">
        <v>664</v>
      </c>
      <c r="CZ33" s="6" t="s">
        <v>661</v>
      </c>
      <c r="DA33" s="6" t="s">
        <v>662</v>
      </c>
      <c r="DB33" s="7" t="s">
        <v>854</v>
      </c>
      <c r="DC33" s="6" t="s">
        <v>882</v>
      </c>
      <c r="DE33" t="s">
        <v>250</v>
      </c>
      <c r="DF33" s="7" t="s">
        <v>663</v>
      </c>
      <c r="DG33" s="7" t="s">
        <v>659</v>
      </c>
      <c r="DH33" s="7" t="s">
        <v>660</v>
      </c>
      <c r="DI33" s="6" t="s">
        <v>664</v>
      </c>
      <c r="DJ33" s="6" t="s">
        <v>661</v>
      </c>
      <c r="DK33" s="6" t="s">
        <v>662</v>
      </c>
      <c r="DL33" s="7" t="s">
        <v>887</v>
      </c>
      <c r="DM33" s="6" t="s">
        <v>890</v>
      </c>
      <c r="DO33" t="s">
        <v>250</v>
      </c>
      <c r="DP33" s="7" t="s">
        <v>663</v>
      </c>
      <c r="DQ33" s="7" t="s">
        <v>659</v>
      </c>
      <c r="DR33" s="7" t="s">
        <v>660</v>
      </c>
      <c r="DS33" s="6" t="s">
        <v>664</v>
      </c>
      <c r="DT33" s="6" t="s">
        <v>661</v>
      </c>
      <c r="DU33" s="6" t="s">
        <v>662</v>
      </c>
      <c r="DV33" s="6" t="s">
        <v>876</v>
      </c>
      <c r="DY33" t="s">
        <v>250</v>
      </c>
      <c r="DZ33" s="7" t="s">
        <v>663</v>
      </c>
      <c r="EA33" s="7" t="s">
        <v>659</v>
      </c>
      <c r="EB33" s="7" t="s">
        <v>660</v>
      </c>
      <c r="EC33" s="6" t="s">
        <v>664</v>
      </c>
      <c r="ED33" s="6" t="s">
        <v>661</v>
      </c>
      <c r="EE33" s="6" t="s">
        <v>662</v>
      </c>
      <c r="EF33" s="7" t="s">
        <v>887</v>
      </c>
      <c r="EG33" s="6" t="s">
        <v>882</v>
      </c>
      <c r="EI33" t="s">
        <v>250</v>
      </c>
      <c r="EJ33" s="7" t="s">
        <v>663</v>
      </c>
      <c r="EK33" s="7" t="s">
        <v>659</v>
      </c>
      <c r="EL33" s="7" t="s">
        <v>660</v>
      </c>
      <c r="EM33" s="6" t="s">
        <v>664</v>
      </c>
      <c r="EN33" s="6" t="s">
        <v>661</v>
      </c>
      <c r="EO33" s="6" t="s">
        <v>662</v>
      </c>
      <c r="EP33" s="7" t="s">
        <v>854</v>
      </c>
      <c r="EQ33" s="6" t="s">
        <v>882</v>
      </c>
      <c r="ES33" t="s">
        <v>250</v>
      </c>
      <c r="ET33" s="7" t="s">
        <v>663</v>
      </c>
      <c r="EU33" s="7" t="s">
        <v>659</v>
      </c>
      <c r="EV33" s="7" t="s">
        <v>660</v>
      </c>
      <c r="EW33" s="6" t="s">
        <v>664</v>
      </c>
      <c r="EX33" s="6" t="s">
        <v>661</v>
      </c>
      <c r="EY33" s="6" t="s">
        <v>662</v>
      </c>
      <c r="EZ33" s="7" t="s">
        <v>881</v>
      </c>
      <c r="FA33" s="6" t="s">
        <v>882</v>
      </c>
      <c r="FG33" s="31" t="s">
        <v>825</v>
      </c>
      <c r="FL33" t="s">
        <v>250</v>
      </c>
      <c r="FM33" s="7" t="s">
        <v>663</v>
      </c>
      <c r="FN33" s="7" t="s">
        <v>659</v>
      </c>
      <c r="FO33" s="7" t="s">
        <v>660</v>
      </c>
      <c r="FP33" s="6" t="s">
        <v>664</v>
      </c>
      <c r="FQ33" s="6" t="s">
        <v>661</v>
      </c>
      <c r="FR33" s="6" t="s">
        <v>662</v>
      </c>
    </row>
    <row r="34" spans="1:174">
      <c r="A34">
        <v>24</v>
      </c>
      <c r="B34">
        <v>28.4</v>
      </c>
      <c r="C34">
        <v>33.4</v>
      </c>
      <c r="D34">
        <v>19.3</v>
      </c>
      <c r="E34">
        <v>7.01</v>
      </c>
      <c r="F34">
        <v>0.19</v>
      </c>
      <c r="G34">
        <v>0.11</v>
      </c>
      <c r="I34">
        <f>28.3-25.7</f>
        <v>2.6000000000000014</v>
      </c>
      <c r="L34" t="s">
        <v>875</v>
      </c>
      <c r="M34" s="23"/>
      <c r="N34" s="23"/>
      <c r="O34" s="23"/>
      <c r="P34" s="23"/>
      <c r="Q34" s="23"/>
      <c r="R34" s="23"/>
      <c r="S34" s="23"/>
      <c r="T34" s="23"/>
      <c r="X34" t="s">
        <v>716</v>
      </c>
      <c r="AB34" s="23" t="s">
        <v>706</v>
      </c>
      <c r="AG34" s="31" t="s">
        <v>453</v>
      </c>
      <c r="AM34">
        <v>6</v>
      </c>
      <c r="AN34">
        <f>AVERAGE(AU3:AU5)</f>
        <v>9.3473219682265043</v>
      </c>
      <c r="AO34">
        <f>STDEV(AU3:AU5)</f>
        <v>2.9876696003960297</v>
      </c>
      <c r="AP34">
        <f>AO34/SQRT(3)</f>
        <v>1.7249318480383096</v>
      </c>
      <c r="AQ34">
        <f>AVERAGE(AU6:AU8)</f>
        <v>8.0005313630660115</v>
      </c>
      <c r="AR34">
        <f>STDEV(AU6:AU8)</f>
        <v>1.5058300932211142</v>
      </c>
      <c r="AS34">
        <f>AR34/SQRT(3)</f>
        <v>0.86939140967504958</v>
      </c>
      <c r="AT34">
        <f>AP34/AN34*100</f>
        <v>18.453754496760808</v>
      </c>
      <c r="AU34">
        <f>AS34/AQ34*100</f>
        <v>10.86667085249543</v>
      </c>
      <c r="AV34">
        <v>6</v>
      </c>
      <c r="AW34" s="7">
        <f>AVERAGE(BE3:BE5)</f>
        <v>67.887354167641902</v>
      </c>
      <c r="AX34" s="7">
        <f>STDEV(BE3:BE5)</f>
        <v>10.755564429966292</v>
      </c>
      <c r="AY34" s="7">
        <f>AX34/SQRT(3)</f>
        <v>6.2097280189274029</v>
      </c>
      <c r="AZ34" s="6">
        <f>AVERAGE(BE6:BE8)</f>
        <v>79.249715793439719</v>
      </c>
      <c r="BA34" s="6">
        <f>STDEV(BE6:BE8)</f>
        <v>30.201094060989714</v>
      </c>
      <c r="BB34" s="6">
        <f>BA34/SQRT(3)</f>
        <v>17.436609785933619</v>
      </c>
      <c r="BC34">
        <f>AY34/AW34*100</f>
        <v>9.1471056650595344</v>
      </c>
      <c r="BD34">
        <f>BB34/AZ34*100</f>
        <v>22.002110179651922</v>
      </c>
      <c r="BG34">
        <v>6</v>
      </c>
      <c r="BH34" s="7">
        <f>AVERAGE(BP3:BP5)</f>
        <v>4480.6575477363349</v>
      </c>
      <c r="BI34" s="7">
        <f>STDEV(BP3:BP5)</f>
        <v>7172.858910954882</v>
      </c>
      <c r="BJ34" s="7">
        <f>BI34/SQRT(3)</f>
        <v>4141.2520230990076</v>
      </c>
      <c r="BK34" s="6">
        <f>AVERAGE(BP6:BP8)</f>
        <v>2159.6397282586654</v>
      </c>
      <c r="BL34" s="6">
        <f>STDEV(BP6:BP8)</f>
        <v>2037.3432046760786</v>
      </c>
      <c r="BM34" s="6">
        <f>BL34/SQRT(3)</f>
        <v>1176.2606476513888</v>
      </c>
      <c r="BN34">
        <f>BJ34/BH34*100</f>
        <v>92.42509562444026</v>
      </c>
      <c r="BO34">
        <f>BM34/BK34*100</f>
        <v>54.465595916769736</v>
      </c>
      <c r="BQ34">
        <v>6</v>
      </c>
      <c r="BR34" s="7">
        <f>AVERAGE(BZ3:BZ5)</f>
        <v>116.7393661830843</v>
      </c>
      <c r="BS34" s="7">
        <f>STDEV(BZ3:BZ5)</f>
        <v>179.50294113987766</v>
      </c>
      <c r="BT34" s="7">
        <f>BS34/SQRT(3)</f>
        <v>103.63607138743792</v>
      </c>
      <c r="BU34" s="6">
        <f>AVERAGE(BZ6:BZ8)</f>
        <v>74.517597601191625</v>
      </c>
      <c r="BV34" s="6">
        <f>STDEV(BZ6:BZ8)</f>
        <v>63.162941986310791</v>
      </c>
      <c r="BW34" s="6">
        <f>BV34/SQRT(3)</f>
        <v>36.467141558605256</v>
      </c>
      <c r="BX34">
        <f>BT34/BR34*100</f>
        <v>88.77559881977065</v>
      </c>
      <c r="BY34">
        <f>BW34/BU34*100</f>
        <v>48.937623772806795</v>
      </c>
      <c r="CA34">
        <v>6</v>
      </c>
      <c r="CB34" s="7">
        <f>AVERAGE(CJ3:CJ5)</f>
        <v>7.5908516939985384</v>
      </c>
      <c r="CC34" s="7">
        <f>STDEV(CJ3:CJ5)</f>
        <v>12.219717255374425</v>
      </c>
      <c r="CD34" s="7">
        <f>CC34/SQRT(3)</f>
        <v>7.0550570468115392</v>
      </c>
      <c r="CE34" s="6">
        <f>AVERAGE(CJ6:CJ8)</f>
        <v>5.9174476703671148</v>
      </c>
      <c r="CF34" s="6">
        <f>STDEV(CJ6:CJ8)</f>
        <v>6.6647876321484247</v>
      </c>
      <c r="CG34" s="6">
        <f>CF34/SQRT(3)</f>
        <v>3.8479169335125816</v>
      </c>
      <c r="CH34">
        <f>CD34/CB34*100</f>
        <v>92.941574031664871</v>
      </c>
      <c r="CI34">
        <f>CG34/CE34*100</f>
        <v>65.026632221554721</v>
      </c>
      <c r="CK34">
        <v>6</v>
      </c>
      <c r="CL34" s="7">
        <f>AVERAGE(CT3:CT5)</f>
        <v>74.813035950959886</v>
      </c>
      <c r="CM34" s="7">
        <f>STDEV(CT3:CT5)</f>
        <v>55.261529842757689</v>
      </c>
      <c r="CN34" s="7">
        <f>CM34/SQRT(3)</f>
        <v>31.905259130546693</v>
      </c>
      <c r="CO34" s="6">
        <f>AVERAGE(CT6:CT8)</f>
        <v>116.96586673403088</v>
      </c>
      <c r="CP34" s="6">
        <f>STDEV(CT6:CT8)</f>
        <v>39.647156893312385</v>
      </c>
      <c r="CQ34" s="6">
        <f>CP34/SQRT(3)</f>
        <v>22.890296704957233</v>
      </c>
      <c r="CR34">
        <f>CN34/CL34*100</f>
        <v>42.646657397329342</v>
      </c>
      <c r="CS34">
        <f>CQ34/CO34*100</f>
        <v>19.570065476458669</v>
      </c>
      <c r="CU34">
        <v>6</v>
      </c>
      <c r="CV34" s="7">
        <f>AVERAGE(DD3:DD5)</f>
        <v>15.556255266685506</v>
      </c>
      <c r="CW34" s="7">
        <f>STDEV(DD3:DD5)</f>
        <v>6.5983510688250764</v>
      </c>
      <c r="CX34" s="7">
        <f>CW34/SQRT(3)</f>
        <v>3.8095597657938129</v>
      </c>
      <c r="CY34" s="6">
        <f>AVERAGE(DD6:DD8)</f>
        <v>38.040005174296951</v>
      </c>
      <c r="CZ34" s="6">
        <f>STDEV(DD6:DD8)</f>
        <v>15.280293126662832</v>
      </c>
      <c r="DA34" s="6">
        <f>CZ34/SQRT(3)</f>
        <v>8.8220813499751749</v>
      </c>
      <c r="DB34" s="7">
        <f>CX34/CV34*100</f>
        <v>24.488925518933691</v>
      </c>
      <c r="DC34">
        <f>DA34/CY34*100</f>
        <v>23.191588196565547</v>
      </c>
      <c r="DE34">
        <v>6</v>
      </c>
      <c r="DF34" s="7">
        <f>AVERAGE(DN3:DN5)</f>
        <v>2577.5182128184788</v>
      </c>
      <c r="DG34" s="7">
        <f>STDEV(DN3:DN5)</f>
        <v>1241.625466547473</v>
      </c>
      <c r="DH34" s="7">
        <f>DG34/SQRT(3)</f>
        <v>716.85279734387825</v>
      </c>
      <c r="DI34" s="6">
        <f>AVERAGE(DN6:DN8)</f>
        <v>1631.8731540957308</v>
      </c>
      <c r="DJ34" s="6">
        <f>STDEV(DN6:DN8)</f>
        <v>993.32498334726665</v>
      </c>
      <c r="DK34" s="6">
        <f>DJ34/SQRT(3)</f>
        <v>573.49644652832501</v>
      </c>
      <c r="DL34">
        <f>DH34/DF34*100</f>
        <v>27.811745181036379</v>
      </c>
      <c r="DM34">
        <f>DK34/DI34*100</f>
        <v>35.143445131684658</v>
      </c>
      <c r="DO34">
        <v>6</v>
      </c>
      <c r="DP34" s="7">
        <f>AVERAGE(DX3:DX5)</f>
        <v>1970.1806578467877</v>
      </c>
      <c r="DQ34" s="7">
        <f>STDEV(DX3:DX5)</f>
        <v>835.34171055448303</v>
      </c>
      <c r="DR34" s="7">
        <f>DQ34/SQRT(3)</f>
        <v>482.28476145395325</v>
      </c>
      <c r="DS34" s="6">
        <f>AVERAGE(DX6:DX8)</f>
        <v>1635.8438858981829</v>
      </c>
      <c r="DT34" s="6">
        <f>STDEV(DX6:DX8)</f>
        <v>281.14211261565566</v>
      </c>
      <c r="DU34" s="6">
        <f>DT34/SQRT(3)</f>
        <v>162.31747439918888</v>
      </c>
      <c r="DV34">
        <f>DR34/DP34*100</f>
        <v>24.479215118325378</v>
      </c>
      <c r="DW34">
        <f>DU34/DS34*100</f>
        <v>9.9225528669605421</v>
      </c>
      <c r="DY34">
        <v>6</v>
      </c>
      <c r="DZ34" s="7">
        <f>AVERAGE(EH3:EH5)</f>
        <v>325.5663815335522</v>
      </c>
      <c r="EA34" s="7">
        <f>STDEV(EH3:EH5)</f>
        <v>150.44327754042718</v>
      </c>
      <c r="EB34" s="7">
        <f>EA34/SQRT(3)</f>
        <v>86.858466785735217</v>
      </c>
      <c r="EC34" s="6">
        <f>AVERAGE(EH6:EH8)</f>
        <v>355.72707187722835</v>
      </c>
      <c r="ED34" s="6">
        <f>STDEV(EH6:EH8)</f>
        <v>266.81660296862958</v>
      </c>
      <c r="EE34" s="6">
        <f>ED34/SQRT(3)</f>
        <v>154.04663754819981</v>
      </c>
      <c r="EF34">
        <f>EB34/DZ34*100</f>
        <v>26.679187935988953</v>
      </c>
      <c r="EG34">
        <f>EE34/EC34*100</f>
        <v>43.304727058098557</v>
      </c>
      <c r="EI34">
        <v>6</v>
      </c>
      <c r="EJ34" s="7">
        <f>AVERAGE(ER3:ER5)</f>
        <v>1952.732850675955</v>
      </c>
      <c r="EK34" s="7">
        <f>STDEV(ER3:ER5)</f>
        <v>1286.6449055948588</v>
      </c>
      <c r="EL34" s="7">
        <f>EK34/SQRT(3)</f>
        <v>742.84478259665241</v>
      </c>
      <c r="EM34" s="6">
        <f>AVERAGE(ER6:ER8)</f>
        <v>1466.5755101883669</v>
      </c>
      <c r="EN34" s="6">
        <f>STDEV(ER6:ER8)</f>
        <v>630.3776703629602</v>
      </c>
      <c r="EO34" s="6">
        <f>EN34/SQRT(3)</f>
        <v>363.94871767518424</v>
      </c>
      <c r="EP34">
        <f>EL34/EJ34*100</f>
        <v>38.04129081658612</v>
      </c>
      <c r="EQ34">
        <f>EO34/EM34*100</f>
        <v>24.816227677798782</v>
      </c>
      <c r="ES34">
        <v>6</v>
      </c>
      <c r="ET34" s="7">
        <f>AVERAGE(FB3:FB5)</f>
        <v>1552.0631026636684</v>
      </c>
      <c r="EU34" s="7">
        <f>STDEV(FB3:FB5)</f>
        <v>725.36844608332444</v>
      </c>
      <c r="EV34" s="7">
        <f>EU34/SQRT(3)</f>
        <v>418.79166760786791</v>
      </c>
      <c r="EW34" s="6">
        <f>AVERAGE(FB6:FB8)</f>
        <v>1869.5450089736253</v>
      </c>
      <c r="EX34" s="6">
        <f>STDEV(FB6:FB8)</f>
        <v>217.34970045070395</v>
      </c>
      <c r="EY34" s="6">
        <f>EX34/SQRT(3)</f>
        <v>125.48690806349846</v>
      </c>
      <c r="EZ34">
        <f>EV34/ET34*100</f>
        <v>26.982902105535072</v>
      </c>
      <c r="FA34">
        <f>EY34/EW34*100</f>
        <v>6.7121629841043733</v>
      </c>
      <c r="FG34" t="s">
        <v>633</v>
      </c>
      <c r="FH34">
        <v>6</v>
      </c>
      <c r="FI34">
        <v>12</v>
      </c>
      <c r="FJ34">
        <v>24</v>
      </c>
      <c r="FK34">
        <v>48</v>
      </c>
      <c r="FL34">
        <v>6</v>
      </c>
      <c r="FM34" s="7" t="e">
        <f>AVERAGE(FS3,FS4:FS5)</f>
        <v>#DIV/0!</v>
      </c>
      <c r="FN34" s="7" t="e">
        <f>STDEV(FS3,FS4:FS5)</f>
        <v>#DIV/0!</v>
      </c>
      <c r="FO34" s="7" t="e">
        <f>FN34/SQRT(2)</f>
        <v>#DIV/0!</v>
      </c>
      <c r="FP34" s="6" t="e">
        <f>AVERAGE(FS6:FS8)</f>
        <v>#DIV/0!</v>
      </c>
      <c r="FQ34" s="6" t="e">
        <f>STDEV(FS6:FS8)</f>
        <v>#DIV/0!</v>
      </c>
      <c r="FR34" s="6" t="e">
        <f>FQ34/SQRT(3)</f>
        <v>#DIV/0!</v>
      </c>
    </row>
    <row r="35" spans="1:174">
      <c r="A35">
        <v>48</v>
      </c>
      <c r="B35">
        <v>5.0599999999999996</v>
      </c>
      <c r="C35">
        <v>2.09</v>
      </c>
      <c r="D35">
        <v>1.21</v>
      </c>
      <c r="E35">
        <v>0.95</v>
      </c>
      <c r="F35">
        <v>0.71</v>
      </c>
      <c r="G35">
        <v>0.41</v>
      </c>
      <c r="I35">
        <f>2^2.6</f>
        <v>6.062866266041592</v>
      </c>
      <c r="M35" s="23"/>
      <c r="N35" s="23"/>
      <c r="O35" s="23"/>
      <c r="P35" s="23"/>
      <c r="Q35" s="23"/>
      <c r="R35" s="23"/>
      <c r="S35" s="23"/>
      <c r="T35" s="23"/>
      <c r="W35" t="s">
        <v>732</v>
      </c>
      <c r="AB35" s="23" t="s">
        <v>707</v>
      </c>
      <c r="AF35" t="s">
        <v>658</v>
      </c>
      <c r="AG35" t="s">
        <v>663</v>
      </c>
      <c r="AH35" t="s">
        <v>659</v>
      </c>
      <c r="AI35" t="s">
        <v>660</v>
      </c>
      <c r="AJ35" t="s">
        <v>664</v>
      </c>
      <c r="AK35" t="s">
        <v>661</v>
      </c>
      <c r="AL35" t="s">
        <v>662</v>
      </c>
      <c r="AM35">
        <v>12</v>
      </c>
      <c r="AN35">
        <f>AVERAGE(AU9:AU11)</f>
        <v>19.743311929282971</v>
      </c>
      <c r="AO35">
        <f>STDEV(AU9:AU11)</f>
        <v>7.0337838448466519</v>
      </c>
      <c r="AP35">
        <f t="shared" ref="AP35:AP37" si="83">AO35/SQRT(3)</f>
        <v>4.0609569962438554</v>
      </c>
      <c r="AQ35">
        <f>AVERAGE(AU12:AU14)</f>
        <v>14.734134360741168</v>
      </c>
      <c r="AR35">
        <f>STDEV(AU12:AU14)</f>
        <v>12.509945555160439</v>
      </c>
      <c r="AS35">
        <f t="shared" ref="AS35:AS37" si="84">AR35/SQRT(3)</f>
        <v>7.2226204338194417</v>
      </c>
      <c r="AT35">
        <f t="shared" ref="AT35:AT45" si="85">AP35/AN35*100</f>
        <v>20.568772913022297</v>
      </c>
      <c r="AU35">
        <f t="shared" ref="AU35:AU45" si="86">AS35/AQ35*100</f>
        <v>49.01964551825985</v>
      </c>
      <c r="AV35">
        <v>12</v>
      </c>
      <c r="AW35" s="7">
        <f>AVERAGE(BE9:BE11)</f>
        <v>152.65107002850905</v>
      </c>
      <c r="AX35" s="7">
        <f>STDEV(BE9:BE11)</f>
        <v>55.820595204100535</v>
      </c>
      <c r="AY35" s="7">
        <f t="shared" ref="AY35:AY37" si="87">AX35/SQRT(3)</f>
        <v>32.228035667412577</v>
      </c>
      <c r="AZ35" s="6">
        <f>AVERAGE(BE12:BE14)</f>
        <v>115.10001825995903</v>
      </c>
      <c r="BA35" s="6">
        <f>STDEV(BE12:BE14)</f>
        <v>98.963303880170841</v>
      </c>
      <c r="BB35" s="6">
        <f t="shared" ref="BB35:BB37" si="88">BA35/SQRT(3)</f>
        <v>57.136490135111373</v>
      </c>
      <c r="BC35">
        <f t="shared" ref="BC35:BC37" si="89">AY35/AW35*100</f>
        <v>21.112223885095389</v>
      </c>
      <c r="BD35">
        <f t="shared" ref="BD35:BD37" si="90">BB35/AZ35*100</f>
        <v>49.640730730438122</v>
      </c>
      <c r="BF35">
        <f>AVERAGE(BF3:BF26)</f>
        <v>2041.6766940659675</v>
      </c>
      <c r="BG35">
        <v>12</v>
      </c>
      <c r="BH35" s="7">
        <f>AVERAGE(BP9:BP11)</f>
        <v>1134.5525649605202</v>
      </c>
      <c r="BI35" s="7">
        <f>STDEV(BP9:BP11)</f>
        <v>706.06638187518149</v>
      </c>
      <c r="BJ35" s="7">
        <f t="shared" ref="BJ35:BJ37" si="91">BI35/SQRT(3)</f>
        <v>407.64761564138115</v>
      </c>
      <c r="BK35" s="6">
        <f>AVERAGE(BP12:BP14)</f>
        <v>1505.3139315443959</v>
      </c>
      <c r="BL35" s="6">
        <f>STDEV(BP12:BP14)</f>
        <v>1218.4733102338892</v>
      </c>
      <c r="BM35" s="6">
        <f t="shared" ref="BM35:BM37" si="92">BL35/SQRT(3)</f>
        <v>703.48589366391036</v>
      </c>
      <c r="BN35">
        <f t="shared" ref="BN35:BN43" si="93">BJ35/BH35*100</f>
        <v>35.930253760923485</v>
      </c>
      <c r="BO35">
        <f t="shared" ref="BO35:BO43" si="94">BM35/BK35*100</f>
        <v>46.733500495950373</v>
      </c>
      <c r="BP35">
        <f>AVERAGE(BP3:BP26)</f>
        <v>2237.4523882747867</v>
      </c>
      <c r="BQ35">
        <v>12</v>
      </c>
      <c r="BR35" s="7">
        <f>AVERAGE(BZ9:BZ11)</f>
        <v>35.59188063679057</v>
      </c>
      <c r="BS35" s="7">
        <f>STDEV(BZ9:BZ11)</f>
        <v>18.17743892186434</v>
      </c>
      <c r="BT35" s="7">
        <f t="shared" ref="BT35:BT37" si="95">BS35/SQRT(3)</f>
        <v>10.494749254716359</v>
      </c>
      <c r="BU35" s="6">
        <f>AVERAGE(BZ12:BZ14)</f>
        <v>59.892645997663315</v>
      </c>
      <c r="BV35" s="6">
        <f>STDEV(BZ12:BZ14)</f>
        <v>38.195926187661463</v>
      </c>
      <c r="BW35" s="6">
        <f t="shared" ref="BW35:BW37" si="96">BV35/SQRT(3)</f>
        <v>22.052428266393424</v>
      </c>
      <c r="BX35">
        <f t="shared" ref="BX35:BX43" si="97">BT35/BR35*100</f>
        <v>29.486357750559993</v>
      </c>
      <c r="BY35">
        <f t="shared" ref="BY35:BY43" si="98">BW35/BU35*100</f>
        <v>36.819926552007388</v>
      </c>
      <c r="CA35">
        <v>12</v>
      </c>
      <c r="CB35" s="7">
        <f>AVERAGE(CJ9:CJ11)</f>
        <v>2.4848482006520438</v>
      </c>
      <c r="CC35" s="7">
        <f>STDEV(CJ9:CJ11)</f>
        <v>1.6886067394096951</v>
      </c>
      <c r="CD35" s="7">
        <f t="shared" ref="CD35:CD37" si="99">CC35/SQRT(3)</f>
        <v>0.97491755555360371</v>
      </c>
      <c r="CE35" s="6">
        <f>AVERAGE(CJ12:CJ14)</f>
        <v>3.0778264773740638</v>
      </c>
      <c r="CF35" s="6">
        <f>STDEV(CJ12:CJ14)</f>
        <v>1.44066408080996</v>
      </c>
      <c r="CG35" s="6">
        <f t="shared" ref="CG35:CG37" si="100">CF35/SQRT(3)</f>
        <v>0.83176779486745522</v>
      </c>
      <c r="CH35">
        <f t="shared" ref="CH35:CH43" si="101">CD35/CB35*100</f>
        <v>39.234491479108371</v>
      </c>
      <c r="CI35">
        <f t="shared" ref="CI35:CI43" si="102">CG35/CE35*100</f>
        <v>27.024518795390374</v>
      </c>
      <c r="CK35">
        <v>12</v>
      </c>
      <c r="CL35" s="7">
        <f>AVERAGE(CT9:CT11)</f>
        <v>162.78395120122175</v>
      </c>
      <c r="CM35" s="7">
        <f>STDEV(CT9:CT11)</f>
        <v>56.819889984990262</v>
      </c>
      <c r="CN35" s="7">
        <f t="shared" ref="CN35:CN37" si="103">CM35/SQRT(3)</f>
        <v>32.804978778159054</v>
      </c>
      <c r="CO35" s="6">
        <f>AVERAGE(CT12:CT14)</f>
        <v>92.230758292875052</v>
      </c>
      <c r="CP35" s="6">
        <f>STDEV(CT12:CT14)</f>
        <v>14.20980852100657</v>
      </c>
      <c r="CQ35" s="6">
        <f t="shared" ref="CQ35:CQ37" si="104">CP35/SQRT(3)</f>
        <v>8.2040367747361813</v>
      </c>
      <c r="CR35">
        <f t="shared" ref="CR35:CR37" si="105">CN35/CL35*100</f>
        <v>20.152464991839345</v>
      </c>
      <c r="CS35">
        <f t="shared" ref="CS35:CS37" si="106">CQ35/CO35*100</f>
        <v>8.8951201601146916</v>
      </c>
      <c r="CU35">
        <v>12</v>
      </c>
      <c r="CV35" s="7">
        <f>AVERAGE(DD9:DD11)</f>
        <v>34.402512835978996</v>
      </c>
      <c r="CW35" s="7">
        <f>STDEV(DD9:DD11)</f>
        <v>5.7955773395317332</v>
      </c>
      <c r="CX35" s="7">
        <f t="shared" ref="CX35:CX37" si="107">CW35/SQRT(3)</f>
        <v>3.3460781370879413</v>
      </c>
      <c r="CY35" s="6">
        <f>AVERAGE(DD12:DD14)</f>
        <v>44.592694508352601</v>
      </c>
      <c r="CZ35" s="6">
        <f>STDEV(DD12:DD14)</f>
        <v>8.6589850690217673</v>
      </c>
      <c r="DA35" s="6">
        <f t="shared" ref="DA35:DA37" si="108">CZ35/SQRT(3)</f>
        <v>4.9992673605086679</v>
      </c>
      <c r="DB35" s="7">
        <f t="shared" ref="DB35:DB37" si="109">CX35/CV35*100</f>
        <v>9.7262608491450955</v>
      </c>
      <c r="DC35">
        <f t="shared" ref="DC35:DC37" si="110">DA35/CY35*100</f>
        <v>11.210955999916672</v>
      </c>
      <c r="DE35">
        <v>12</v>
      </c>
      <c r="DF35" s="7">
        <f>AVERAGE(DN9:DN11)</f>
        <v>1117.3996746684627</v>
      </c>
      <c r="DG35" s="7">
        <f>STDEV(DN9:DN11)</f>
        <v>287.44544821131888</v>
      </c>
      <c r="DH35" s="7">
        <f t="shared" ref="DH35:DH37" si="111">DG35/SQRT(3)</f>
        <v>165.9567069021376</v>
      </c>
      <c r="DI35" s="6">
        <f>AVERAGE(DN12:DN14)</f>
        <v>1044.7462846096978</v>
      </c>
      <c r="DJ35" s="6">
        <f>STDEV(DN12:DN14)</f>
        <v>268.6775762403355</v>
      </c>
      <c r="DK35" s="6">
        <f t="shared" ref="DK35:DK37" si="112">DJ35/SQRT(3)</f>
        <v>155.1210709675739</v>
      </c>
      <c r="DL35">
        <f t="shared" ref="DL35:DL37" si="113">DH35/DF35*100</f>
        <v>14.852045392923321</v>
      </c>
      <c r="DM35">
        <f t="shared" ref="DM35:DM37" si="114">DK35/DI35*100</f>
        <v>14.847726500939403</v>
      </c>
      <c r="DO35">
        <v>12</v>
      </c>
      <c r="DP35" s="7">
        <f>AVERAGE(DX9:DX11)</f>
        <v>842.31974505597009</v>
      </c>
      <c r="DQ35" s="7">
        <f>STDEV(DX9:DX11)</f>
        <v>434.46596428007933</v>
      </c>
      <c r="DR35" s="7">
        <f t="shared" ref="DR35:DR37" si="115">DQ35/SQRT(3)</f>
        <v>250.83904143083416</v>
      </c>
      <c r="DS35" s="6">
        <f>AVERAGE(DX12:DX14)</f>
        <v>636.37812272001077</v>
      </c>
      <c r="DT35" s="6">
        <f>STDEV(DX12:DX14)</f>
        <v>248.32592698869294</v>
      </c>
      <c r="DU35" s="6">
        <f t="shared" ref="DU35:DU37" si="116">DT35/SQRT(3)</f>
        <v>143.37104079368524</v>
      </c>
      <c r="DV35">
        <f t="shared" ref="DV35:DV37" si="117">DR35/DP35*100</f>
        <v>29.779551399945696</v>
      </c>
      <c r="DW35">
        <f t="shared" ref="DW35:DW37" si="118">DU35/DS35*100</f>
        <v>22.529222120472646</v>
      </c>
      <c r="DY35">
        <v>12</v>
      </c>
      <c r="DZ35" s="7">
        <f>AVERAGE(EH9:EH11)</f>
        <v>416.77544149119876</v>
      </c>
      <c r="EA35" s="7">
        <f>STDEV(EH9:EH11)</f>
        <v>322.12420002304242</v>
      </c>
      <c r="EB35" s="7">
        <f t="shared" ref="EB35:EB37" si="119">EA35/SQRT(3)</f>
        <v>185.97849359579641</v>
      </c>
      <c r="EC35" s="6">
        <f>AVERAGE(EH12:EH14)</f>
        <v>44.006640422327216</v>
      </c>
      <c r="ED35" s="6">
        <f>STDEV(EH12:EH14)</f>
        <v>6.5190355268355722</v>
      </c>
      <c r="EE35" s="6">
        <f t="shared" ref="EE35:EE37" si="120">ED35/SQRT(3)</f>
        <v>3.7637669162752516</v>
      </c>
      <c r="EF35">
        <f t="shared" ref="EF35:EF37" si="121">EB35/DZ35*100</f>
        <v>44.62318915202296</v>
      </c>
      <c r="EG35">
        <f t="shared" ref="EG35:EG37" si="122">EE35/EC35*100</f>
        <v>8.5527249527679601</v>
      </c>
      <c r="EI35">
        <v>12</v>
      </c>
      <c r="EJ35" s="7">
        <f>AVERAGE(ER9:ER11)</f>
        <v>1191.4508389737484</v>
      </c>
      <c r="EK35" s="7">
        <f>STDEV(ER9:ER11)</f>
        <v>538.63200663479392</v>
      </c>
      <c r="EL35" s="7">
        <f t="shared" ref="EL35:EL37" si="123">EK35/SQRT(3)</f>
        <v>310.97933402474661</v>
      </c>
      <c r="EM35" s="6">
        <f>AVERAGE(ER12:ER14)</f>
        <v>1114.9964088342742</v>
      </c>
      <c r="EN35" s="6">
        <f>STDEV(ER12:ER14)</f>
        <v>837.93983077675648</v>
      </c>
      <c r="EO35" s="6">
        <f t="shared" ref="EO35:EO36" si="124">EN35/SQRT(3)</f>
        <v>483.78478686366986</v>
      </c>
      <c r="EP35">
        <f t="shared" ref="EP35:EP37" si="125">EL35/EJ35*100</f>
        <v>26.100895131569796</v>
      </c>
      <c r="EQ35">
        <f t="shared" ref="EQ35:EQ37" si="126">EO35/EM35*100</f>
        <v>43.388909868280699</v>
      </c>
      <c r="ES35">
        <v>12</v>
      </c>
      <c r="ET35" s="7">
        <f>AVERAGE(FB9:FB11)</f>
        <v>657.73615251126182</v>
      </c>
      <c r="EU35" s="7">
        <f>STDEV(FB9:FB11)</f>
        <v>349.20564895803278</v>
      </c>
      <c r="EV35" s="7">
        <f t="shared" ref="EV35:EV37" si="127">EU35/SQRT(3)</f>
        <v>201.61397542845819</v>
      </c>
      <c r="EW35" s="6">
        <f>AVERAGE(FB12:FB14)</f>
        <v>555.42033339436762</v>
      </c>
      <c r="EX35" s="6">
        <f>STDEV(FB12:FB14)</f>
        <v>377.92627880518046</v>
      </c>
      <c r="EY35" s="6">
        <f t="shared" ref="EY35:EY37" si="128">EX35/SQRT(3)</f>
        <v>218.19583880200452</v>
      </c>
      <c r="EZ35">
        <f t="shared" ref="EZ35:EZ37" si="129">EV35/ET35*100</f>
        <v>30.652713045905767</v>
      </c>
      <c r="FA35">
        <f t="shared" ref="FA35:FA37" si="130">EY35/EW35*100</f>
        <v>39.284812903505625</v>
      </c>
      <c r="FG35" s="7" t="s">
        <v>826</v>
      </c>
      <c r="FH35" s="7" t="s">
        <v>827</v>
      </c>
      <c r="FI35" s="7" t="s">
        <v>827</v>
      </c>
      <c r="FJ35" s="7" t="s">
        <v>272</v>
      </c>
      <c r="FK35" s="7" t="s">
        <v>828</v>
      </c>
      <c r="FL35">
        <v>12</v>
      </c>
      <c r="FM35" s="7" t="e">
        <f>AVERAGE(FS9:FS11)</f>
        <v>#DIV/0!</v>
      </c>
      <c r="FN35" s="7" t="e">
        <f>STDEV(FS9:FS11)</f>
        <v>#DIV/0!</v>
      </c>
      <c r="FO35" s="7" t="e">
        <f>FN35/SQRT(3)</f>
        <v>#DIV/0!</v>
      </c>
      <c r="FP35" s="6" t="e">
        <f>AVERAGE(FS12,FS14)</f>
        <v>#DIV/0!</v>
      </c>
      <c r="FQ35" s="6" t="e">
        <f>STDEV(FS12,FS14)</f>
        <v>#DIV/0!</v>
      </c>
      <c r="FR35" s="6" t="e">
        <f>FQ35/SQRT(2)</f>
        <v>#DIV/0!</v>
      </c>
    </row>
    <row r="36" spans="1:174">
      <c r="W36" t="s">
        <v>734</v>
      </c>
      <c r="AF36">
        <v>6</v>
      </c>
      <c r="AG36">
        <f>AVERAGE(AK3:AK5)</f>
        <v>0.2412374965382246</v>
      </c>
      <c r="AH36">
        <f>STDEV(AK3:AK5)</f>
        <v>0.2172016960061251</v>
      </c>
      <c r="AI36">
        <f>AH36/SQRT(3)</f>
        <v>0.1254014576575796</v>
      </c>
      <c r="AJ36">
        <f>AVERAGE(AK6:AK8)</f>
        <v>8.0312851688761858E-2</v>
      </c>
      <c r="AK36">
        <f>STDEV(AK6:AK8)</f>
        <v>6.6472303530156665E-2</v>
      </c>
      <c r="AL36">
        <f>AK36/SQRT(3)</f>
        <v>3.8377802336790466E-2</v>
      </c>
      <c r="AM36">
        <v>24</v>
      </c>
      <c r="AN36">
        <f>AVERAGE(AU15:AU17)</f>
        <v>9.5200927164906801</v>
      </c>
      <c r="AO36">
        <f>STDEV(AU15:AU17)</f>
        <v>8.4292435732538085</v>
      </c>
      <c r="AP36">
        <f t="shared" si="83"/>
        <v>4.8666260460830095</v>
      </c>
      <c r="AQ36">
        <f>AVERAGE(AU18:AU20)</f>
        <v>15.585998907363015</v>
      </c>
      <c r="AR36">
        <f>STDEV(AU18:AU20)</f>
        <v>5.9801941054058032</v>
      </c>
      <c r="AS36">
        <f t="shared" si="84"/>
        <v>3.452666676562254</v>
      </c>
      <c r="AT36">
        <f t="shared" si="85"/>
        <v>51.119523632926942</v>
      </c>
      <c r="AU36">
        <f t="shared" si="86"/>
        <v>22.152360571071082</v>
      </c>
      <c r="AV36">
        <v>24</v>
      </c>
      <c r="AW36" s="7">
        <f>AVERAGE(BE15:BE17)</f>
        <v>83.022001756165608</v>
      </c>
      <c r="AX36" s="7">
        <f>STDEV(BE15:BE17)</f>
        <v>78.028455652671326</v>
      </c>
      <c r="AY36" s="7">
        <f t="shared" si="87"/>
        <v>45.049749875520568</v>
      </c>
      <c r="AZ36" s="6">
        <f>AVERAGE(BE18:BE20)</f>
        <v>128.32676638314069</v>
      </c>
      <c r="BA36" s="6">
        <f>STDEV(BE18:BE20)</f>
        <v>65.370092522048211</v>
      </c>
      <c r="BB36" s="6">
        <f t="shared" si="88"/>
        <v>37.741440514555279</v>
      </c>
      <c r="BC36">
        <f t="shared" si="89"/>
        <v>54.262423119874917</v>
      </c>
      <c r="BD36">
        <f t="shared" si="90"/>
        <v>29.410419648440289</v>
      </c>
      <c r="BG36">
        <v>24</v>
      </c>
      <c r="BH36" s="7">
        <f>AVERAGE(BP15:BP17)</f>
        <v>2335.5671999283391</v>
      </c>
      <c r="BI36" s="7">
        <f>STDEV(BP15:BP17)</f>
        <v>2663.0333706959245</v>
      </c>
      <c r="BJ36" s="7">
        <f t="shared" si="91"/>
        <v>1537.5030334322487</v>
      </c>
      <c r="BK36" s="6">
        <f>AVERAGE(BP18:BP20)</f>
        <v>1329.7402798380401</v>
      </c>
      <c r="BL36" s="6">
        <f>STDEV(BP18:BP20)</f>
        <v>1325.4182637949757</v>
      </c>
      <c r="BM36" s="6">
        <f t="shared" si="92"/>
        <v>765.2305913908757</v>
      </c>
      <c r="BN36">
        <f t="shared" si="93"/>
        <v>65.82996342299306</v>
      </c>
      <c r="BO36">
        <f t="shared" si="94"/>
        <v>57.547372445097281</v>
      </c>
      <c r="BQ36">
        <v>24</v>
      </c>
      <c r="BR36" s="7">
        <f>AVERAGE(BZ15:BZ17)</f>
        <v>107.15837819143628</v>
      </c>
      <c r="BS36" s="7">
        <f>STDEV(BZ15:BZ17)</f>
        <v>129.0624859106766</v>
      </c>
      <c r="BT36" s="7">
        <f t="shared" si="95"/>
        <v>74.514260982811422</v>
      </c>
      <c r="BU36" s="6">
        <f>AVERAGE(BZ18:BZ20)</f>
        <v>56.01259316688185</v>
      </c>
      <c r="BV36" s="6">
        <f>STDEV(BZ18:BZ20)</f>
        <v>49.191140300952327</v>
      </c>
      <c r="BW36" s="6">
        <f t="shared" si="96"/>
        <v>28.400518094499475</v>
      </c>
      <c r="BX36">
        <f t="shared" si="97"/>
        <v>69.536570299424653</v>
      </c>
      <c r="BY36">
        <f t="shared" si="98"/>
        <v>50.703808712951428</v>
      </c>
      <c r="CA36">
        <v>24</v>
      </c>
      <c r="CB36" s="7">
        <f>AVERAGE(CJ15:CJ17)</f>
        <v>4.2823385179312705</v>
      </c>
      <c r="CC36" s="7">
        <f>STDEV(CJ15:CJ17)</f>
        <v>3.9178099340090697</v>
      </c>
      <c r="CD36" s="7">
        <f t="shared" si="99"/>
        <v>2.2619486200339267</v>
      </c>
      <c r="CE36" s="6">
        <f>AVERAGE(CJ18:CJ20)</f>
        <v>3.5882647286122182</v>
      </c>
      <c r="CF36" s="6">
        <f>STDEV(CJ18:CJ20)</f>
        <v>3.5656400701463622</v>
      </c>
      <c r="CG36" s="6">
        <f t="shared" si="100"/>
        <v>2.0586232543323186</v>
      </c>
      <c r="CH36">
        <f t="shared" si="101"/>
        <v>52.820406667117901</v>
      </c>
      <c r="CI36">
        <f t="shared" si="102"/>
        <v>57.370997126193167</v>
      </c>
      <c r="CK36">
        <v>24</v>
      </c>
      <c r="CL36" s="7">
        <f>AVERAGE(CT15:CT17)</f>
        <v>61.23280520475015</v>
      </c>
      <c r="CM36" s="7">
        <f>STDEV(CT15:CT17)</f>
        <v>25.145763190928882</v>
      </c>
      <c r="CN36" s="7">
        <f t="shared" si="103"/>
        <v>14.517913147261375</v>
      </c>
      <c r="CO36" s="6">
        <f>AVERAGE(CT18:CT20)</f>
        <v>124.67826546729644</v>
      </c>
      <c r="CP36" s="6">
        <f>STDEV(CT18:CT20)</f>
        <v>4.9733339300269277</v>
      </c>
      <c r="CQ36" s="6">
        <f t="shared" si="104"/>
        <v>2.8713556832709464</v>
      </c>
      <c r="CR36">
        <f t="shared" si="105"/>
        <v>23.709371306306156</v>
      </c>
      <c r="CS36">
        <f t="shared" si="106"/>
        <v>2.3030122150874108</v>
      </c>
      <c r="CU36">
        <v>24</v>
      </c>
      <c r="CV36" s="7">
        <f>AVERAGE(DD15:DD17)</f>
        <v>26.384629384187907</v>
      </c>
      <c r="CW36" s="7">
        <f>STDEV(DD15:DD17)</f>
        <v>15.048578811466841</v>
      </c>
      <c r="CX36" s="7">
        <f t="shared" si="107"/>
        <v>8.6883010277216801</v>
      </c>
      <c r="CY36" s="6">
        <f>AVERAGE(DD18:DD20)</f>
        <v>51.867170870856484</v>
      </c>
      <c r="CZ36" s="6">
        <f>STDEV(DD18:DD20)</f>
        <v>8.3647307086634495</v>
      </c>
      <c r="DA36" s="6">
        <f t="shared" si="108"/>
        <v>4.8293795263455719</v>
      </c>
      <c r="DB36" s="7">
        <f t="shared" si="109"/>
        <v>32.929403332564938</v>
      </c>
      <c r="DC36">
        <f t="shared" si="110"/>
        <v>9.3110525314175945</v>
      </c>
      <c r="DE36">
        <v>24</v>
      </c>
      <c r="DF36" s="7">
        <f>AVERAGE(DN15:DN17)</f>
        <v>1473.077838147691</v>
      </c>
      <c r="DG36" s="7">
        <f>STDEV(DN15:DN17)</f>
        <v>909.11098561716653</v>
      </c>
      <c r="DH36" s="7">
        <f t="shared" si="111"/>
        <v>524.87547226931713</v>
      </c>
      <c r="DI36" s="6">
        <f>AVERAGE(DN18:DN20)</f>
        <v>1204.3818019383102</v>
      </c>
      <c r="DJ36" s="6">
        <f>STDEV(DN18:DN20)</f>
        <v>181.37869308971025</v>
      </c>
      <c r="DK36" s="6">
        <f t="shared" si="112"/>
        <v>104.71903728060674</v>
      </c>
      <c r="DL36">
        <f t="shared" si="113"/>
        <v>35.631210970447917</v>
      </c>
      <c r="DM36">
        <f t="shared" si="114"/>
        <v>8.6948372278685895</v>
      </c>
      <c r="DO36">
        <v>24</v>
      </c>
      <c r="DP36" s="7">
        <f>AVERAGE(DX15:DX17)</f>
        <v>714.22511223631079</v>
      </c>
      <c r="DQ36" s="7">
        <f>STDEV(DX15:DX17)</f>
        <v>349.59679190885385</v>
      </c>
      <c r="DR36" s="7">
        <f t="shared" si="115"/>
        <v>201.83980191640637</v>
      </c>
      <c r="DS36" s="6">
        <f>AVERAGE(DX18:DX20)</f>
        <v>879.03184826798599</v>
      </c>
      <c r="DT36" s="6">
        <f>STDEV(DX18:DX20)</f>
        <v>428.27228713979991</v>
      </c>
      <c r="DU36" s="6">
        <f t="shared" si="116"/>
        <v>247.26312026662021</v>
      </c>
      <c r="DV36">
        <f t="shared" si="117"/>
        <v>28.259969925227864</v>
      </c>
      <c r="DW36">
        <f t="shared" si="118"/>
        <v>28.129028630056911</v>
      </c>
      <c r="DY36">
        <v>24</v>
      </c>
      <c r="DZ36" s="7">
        <f>AVERAGE(EH15:EH17)</f>
        <v>21.694472047983794</v>
      </c>
      <c r="EA36" s="7">
        <f>STDEV(EH15:EH17)</f>
        <v>16.327368242151806</v>
      </c>
      <c r="EB36" s="7">
        <f t="shared" si="119"/>
        <v>9.4266104497644925</v>
      </c>
      <c r="EC36" s="6">
        <f>AVERAGE(EH18:EH20)</f>
        <v>32.59810505147442</v>
      </c>
      <c r="ED36" s="6">
        <f>STDEV(EH18:EH20)</f>
        <v>14.165698836275931</v>
      </c>
      <c r="EE36" s="6">
        <f t="shared" si="120"/>
        <v>8.1785700363830784</v>
      </c>
      <c r="EF36">
        <f t="shared" si="121"/>
        <v>43.451670217715979</v>
      </c>
      <c r="EG36">
        <f t="shared" si="122"/>
        <v>25.089096508734514</v>
      </c>
      <c r="EI36">
        <v>24</v>
      </c>
      <c r="EJ36" s="7">
        <f>AVERAGE(ER15:ER17)</f>
        <v>689.85170428701872</v>
      </c>
      <c r="EK36" s="7">
        <f>STDEV(ER15:ER17)</f>
        <v>520.42993388478772</v>
      </c>
      <c r="EL36" s="7">
        <f t="shared" si="123"/>
        <v>300.47036242272134</v>
      </c>
      <c r="EM36" s="6">
        <f>AVERAGE(ER18:ER20)</f>
        <v>2148.9737531852652</v>
      </c>
      <c r="EN36" s="6">
        <f>STDEV(ER18:ER20)</f>
        <v>1508.4124421090785</v>
      </c>
      <c r="EO36" s="6">
        <f t="shared" si="124"/>
        <v>870.88232950065731</v>
      </c>
      <c r="EP36">
        <f t="shared" si="125"/>
        <v>43.555790404731397</v>
      </c>
      <c r="EQ36">
        <f t="shared" si="126"/>
        <v>40.525498657664514</v>
      </c>
      <c r="ES36">
        <v>24</v>
      </c>
      <c r="ET36" s="7">
        <f>AVERAGE(FB15:FB17)</f>
        <v>343.38042769391944</v>
      </c>
      <c r="EU36" s="7">
        <f>STDEV(FB15:FB17)</f>
        <v>101.98034040296561</v>
      </c>
      <c r="EV36" s="7">
        <f t="shared" si="127"/>
        <v>58.87837698370187</v>
      </c>
      <c r="EW36" s="6">
        <f>AVERAGE(FB18:FB20)</f>
        <v>989.18925665692302</v>
      </c>
      <c r="EX36" s="6">
        <f>STDEV(FB18:FB20)</f>
        <v>509.82994216164053</v>
      </c>
      <c r="EY36" s="6">
        <f t="shared" si="128"/>
        <v>294.3504543479545</v>
      </c>
      <c r="EZ36">
        <f t="shared" si="129"/>
        <v>17.146689862063006</v>
      </c>
      <c r="FA36">
        <f t="shared" si="130"/>
        <v>29.756737890860759</v>
      </c>
      <c r="FG36" s="6" t="s">
        <v>635</v>
      </c>
      <c r="FH36" s="6" t="s">
        <v>827</v>
      </c>
      <c r="FI36" s="6" t="s">
        <v>827</v>
      </c>
      <c r="FJ36" s="6" t="s">
        <v>828</v>
      </c>
      <c r="FK36" s="6" t="s">
        <v>827</v>
      </c>
      <c r="FL36">
        <v>24</v>
      </c>
      <c r="FM36" s="7" t="s">
        <v>272</v>
      </c>
      <c r="FN36" s="7" t="s">
        <v>272</v>
      </c>
      <c r="FO36" s="7" t="s">
        <v>272</v>
      </c>
      <c r="FP36" s="6" t="str">
        <f>FS20</f>
        <v>C only</v>
      </c>
      <c r="FQ36" s="6" t="s">
        <v>272</v>
      </c>
      <c r="FR36" s="6" t="s">
        <v>272</v>
      </c>
    </row>
    <row r="37" spans="1:174">
      <c r="U37" s="31" t="s">
        <v>702</v>
      </c>
      <c r="AF37">
        <v>12</v>
      </c>
      <c r="AG37">
        <f>AVERAGE(AK9:AK11)</f>
        <v>0.15599668344189299</v>
      </c>
      <c r="AH37">
        <f>STDEV(AK9:AK11)</f>
        <v>5.8209334194327673E-2</v>
      </c>
      <c r="AI37">
        <f t="shared" ref="AI37:AI39" si="131">AH37/SQRT(3)</f>
        <v>3.3607174766443974E-2</v>
      </c>
      <c r="AJ37">
        <f>AVERAGE(AK12:AK14)</f>
        <v>0.10026446348106173</v>
      </c>
      <c r="AK37">
        <f>STDEV(AK12:AK14)</f>
        <v>6.263053760923401E-2</v>
      </c>
      <c r="AL37">
        <f t="shared" ref="AL37:AL39" si="132">AK37/SQRT(3)</f>
        <v>3.6159757748182239E-2</v>
      </c>
      <c r="AM37">
        <v>48</v>
      </c>
      <c r="AN37">
        <f>AVERAGE(AU21:AU23)</f>
        <v>10.929172250762463</v>
      </c>
      <c r="AO37">
        <f>STDEV(AU21:AU23)</f>
        <v>1.9903615796245366</v>
      </c>
      <c r="AP37">
        <f t="shared" si="83"/>
        <v>1.149135793780915</v>
      </c>
      <c r="AQ37">
        <f>AVERAGE(AU24:AU26)</f>
        <v>7.4384329727746277</v>
      </c>
      <c r="AR37">
        <f>STDEV(AU24:AU26)</f>
        <v>0.81953051304307656</v>
      </c>
      <c r="AS37">
        <f t="shared" si="84"/>
        <v>0.47315616231453239</v>
      </c>
      <c r="AT37">
        <f t="shared" si="85"/>
        <v>10.514389996010417</v>
      </c>
      <c r="AU37">
        <f t="shared" si="86"/>
        <v>6.3609655964680867</v>
      </c>
      <c r="AV37">
        <v>48</v>
      </c>
      <c r="AW37" s="7">
        <f>AVERAGE(BE21:BE23)</f>
        <v>123.84937918491256</v>
      </c>
      <c r="AX37" s="7">
        <f>STDEV(BE21:BE23)</f>
        <v>50.96890762446985</v>
      </c>
      <c r="AY37" s="7">
        <f t="shared" si="87"/>
        <v>29.426912537288839</v>
      </c>
      <c r="AZ37" s="6">
        <f>AVERAGE(BE24:BE26)</f>
        <v>71.660906323419113</v>
      </c>
      <c r="BA37" s="6">
        <f>STDEV(BE24:BE26)</f>
        <v>13.809335360489913</v>
      </c>
      <c r="BB37" s="6">
        <f t="shared" si="88"/>
        <v>7.972823487708669</v>
      </c>
      <c r="BC37">
        <f t="shared" si="89"/>
        <v>23.760242264398567</v>
      </c>
      <c r="BD37">
        <f t="shared" si="90"/>
        <v>11.12576423709438</v>
      </c>
      <c r="BG37">
        <v>48</v>
      </c>
      <c r="BH37" s="7">
        <f>AVERAGE(BP21:BP23)</f>
        <v>2477.430693562565</v>
      </c>
      <c r="BI37" s="7">
        <f>STDEV(BP21:BP23)</f>
        <v>1961.4244614334366</v>
      </c>
      <c r="BJ37" s="7">
        <f t="shared" si="91"/>
        <v>1132.4289408037114</v>
      </c>
      <c r="BK37" s="6">
        <f>AVERAGE(BP24:BP26)</f>
        <v>2476.7171603694346</v>
      </c>
      <c r="BL37" s="6">
        <f>STDEV(BP24:BP26)</f>
        <v>2309.9182654283209</v>
      </c>
      <c r="BM37" s="6">
        <f t="shared" si="92"/>
        <v>1333.6319323510745</v>
      </c>
      <c r="BN37">
        <f t="shared" si="93"/>
        <v>45.709813144167903</v>
      </c>
      <c r="BO37">
        <f t="shared" si="94"/>
        <v>53.846759480285023</v>
      </c>
      <c r="BP37">
        <f>AVERAGE(BJ3:BJ26)</f>
        <v>21.754166666666666</v>
      </c>
      <c r="BQ37">
        <v>48</v>
      </c>
      <c r="BR37" s="7">
        <f>AVERAGE(BZ21:BZ23)</f>
        <v>96.480468256323391</v>
      </c>
      <c r="BS37" s="7">
        <f>STDEV(BZ21:BZ23)</f>
        <v>74.401648669834515</v>
      </c>
      <c r="BT37" s="7">
        <f t="shared" si="95"/>
        <v>42.955811887680923</v>
      </c>
      <c r="BU37" s="6">
        <f>AVERAGE(BZ24:BZ26)</f>
        <v>123.11335446846284</v>
      </c>
      <c r="BV37" s="6">
        <f>STDEV(BZ24:BZ26)</f>
        <v>113.4281001061982</v>
      </c>
      <c r="BW37" s="6">
        <f t="shared" si="96"/>
        <v>65.487744129981351</v>
      </c>
      <c r="BX37">
        <f t="shared" si="97"/>
        <v>44.522806184520739</v>
      </c>
      <c r="BY37">
        <f t="shared" si="98"/>
        <v>53.193046694830272</v>
      </c>
      <c r="BZ37">
        <f>AVERAGE(BT3:BT26)</f>
        <v>26.391666666666669</v>
      </c>
      <c r="CA37">
        <v>48</v>
      </c>
      <c r="CB37" s="7">
        <f>AVERAGE(CJ21:CJ23)</f>
        <v>5.9379437004083728</v>
      </c>
      <c r="CC37" s="7">
        <f>STDEV(CJ21:CJ23)</f>
        <v>5.4472967007400213</v>
      </c>
      <c r="CD37" s="7">
        <f t="shared" si="99"/>
        <v>3.1449982165280117</v>
      </c>
      <c r="CE37" s="6">
        <f>AVERAGE(CJ24:CJ26)</f>
        <v>3.5775734300892856</v>
      </c>
      <c r="CF37" s="6">
        <f>STDEV(CJ24:CJ26)</f>
        <v>1.4469428636198349</v>
      </c>
      <c r="CG37" s="6">
        <f t="shared" si="100"/>
        <v>0.83539285181291967</v>
      </c>
      <c r="CH37">
        <f t="shared" si="101"/>
        <v>52.964433063111052</v>
      </c>
      <c r="CI37">
        <f t="shared" si="102"/>
        <v>23.350823348217641</v>
      </c>
      <c r="CJ37">
        <f>AVERAGE(CH34:CI37)</f>
        <v>51.341734591544771</v>
      </c>
      <c r="CK37">
        <v>48</v>
      </c>
      <c r="CL37" s="7">
        <f>AVERAGE(CT21:CT23)</f>
        <v>198.3631410254261</v>
      </c>
      <c r="CM37" s="7">
        <f>STDEV(CT21:CT23)</f>
        <v>76.982634374306457</v>
      </c>
      <c r="CN37" s="7">
        <f t="shared" si="103"/>
        <v>44.445944678932371</v>
      </c>
      <c r="CO37" s="6">
        <f>AVERAGE(CT24:CT26)</f>
        <v>71.079391326836927</v>
      </c>
      <c r="CP37" s="6">
        <f>STDEV(CT24:CT26)</f>
        <v>21.050878467753467</v>
      </c>
      <c r="CQ37" s="6">
        <f t="shared" si="104"/>
        <v>12.153730350035561</v>
      </c>
      <c r="CR37">
        <f t="shared" si="105"/>
        <v>22.406352535643357</v>
      </c>
      <c r="CS37">
        <f t="shared" si="106"/>
        <v>17.098810390975824</v>
      </c>
      <c r="CU37">
        <v>48</v>
      </c>
      <c r="CV37" s="7">
        <f>AVERAGE(DD21:DD23)</f>
        <v>104.09449073142453</v>
      </c>
      <c r="CW37" s="7">
        <f>STDEV(DD21:DD23)</f>
        <v>42.776634894887565</v>
      </c>
      <c r="CX37" s="7">
        <f t="shared" si="107"/>
        <v>24.697101671589675</v>
      </c>
      <c r="CY37" s="6">
        <f>AVERAGE(DD24:DD26)</f>
        <v>22.18044456685675</v>
      </c>
      <c r="CZ37" s="6">
        <f>STDEV(DD24:DD26)</f>
        <v>3.7963458132365444</v>
      </c>
      <c r="DA37" s="6">
        <f t="shared" si="108"/>
        <v>2.1918212772090278</v>
      </c>
      <c r="DB37" s="7">
        <f t="shared" si="109"/>
        <v>23.725656850861558</v>
      </c>
      <c r="DC37">
        <f t="shared" si="110"/>
        <v>9.8817734270491986</v>
      </c>
      <c r="DE37">
        <v>48</v>
      </c>
      <c r="DF37" s="7">
        <f>AVERAGE(DN21:DN23)</f>
        <v>2637.1417174558078</v>
      </c>
      <c r="DG37" s="7">
        <f>STDEV(DN21:DN23)</f>
        <v>951.96710245426823</v>
      </c>
      <c r="DH37" s="7">
        <f t="shared" si="111"/>
        <v>549.61846286163984</v>
      </c>
      <c r="DI37" s="6">
        <f>AVERAGE(DN24:DN26)</f>
        <v>1222.5818104636314</v>
      </c>
      <c r="DJ37" s="6">
        <f>STDEV(DN24:DN26)</f>
        <v>513.08386223988134</v>
      </c>
      <c r="DK37" s="6">
        <f t="shared" si="112"/>
        <v>296.22910598104835</v>
      </c>
      <c r="DL37">
        <f t="shared" si="113"/>
        <v>20.841445843566049</v>
      </c>
      <c r="DM37">
        <f t="shared" si="114"/>
        <v>24.229798238917965</v>
      </c>
      <c r="DO37">
        <v>48</v>
      </c>
      <c r="DP37" s="7">
        <f>AVERAGE(DX21:DX23)</f>
        <v>1155.6743747874987</v>
      </c>
      <c r="DQ37" s="7">
        <f>STDEV(DX21:DX23)</f>
        <v>120.84173507452036</v>
      </c>
      <c r="DR37" s="7">
        <f t="shared" si="115"/>
        <v>69.768008274615781</v>
      </c>
      <c r="DS37" s="6">
        <f>AVERAGE(DX24:DX26)</f>
        <v>435.44252396569908</v>
      </c>
      <c r="DT37" s="6">
        <f>STDEV(DX24:DX26)</f>
        <v>424.2653113760386</v>
      </c>
      <c r="DU37" s="6">
        <f t="shared" si="116"/>
        <v>244.94969173077629</v>
      </c>
      <c r="DV37">
        <f t="shared" si="117"/>
        <v>6.0369953506535508</v>
      </c>
      <c r="DW37">
        <f t="shared" si="118"/>
        <v>56.253047933846624</v>
      </c>
      <c r="DY37">
        <v>48</v>
      </c>
      <c r="DZ37" s="7">
        <f>AVERAGE(EH21:EH23)</f>
        <v>49.106794915853918</v>
      </c>
      <c r="EA37" s="7">
        <f>STDEV(EH21:EH23)</f>
        <v>28.22966343524395</v>
      </c>
      <c r="EB37" s="7">
        <f t="shared" si="119"/>
        <v>16.298403783470629</v>
      </c>
      <c r="EC37" s="6">
        <f>AVERAGE(EH24:EH26)</f>
        <v>434.78534983839887</v>
      </c>
      <c r="ED37" s="6">
        <f>STDEV(EH24:EH26)</f>
        <v>506.15848139150665</v>
      </c>
      <c r="EE37" s="6">
        <f t="shared" si="120"/>
        <v>292.23073548399856</v>
      </c>
      <c r="EF37">
        <f t="shared" si="121"/>
        <v>33.189711956152848</v>
      </c>
      <c r="EG37">
        <f t="shared" si="122"/>
        <v>67.212645410572122</v>
      </c>
      <c r="EI37">
        <v>48</v>
      </c>
      <c r="EJ37" s="7">
        <f>AVERAGE(ER21:ER23)</f>
        <v>1233.4983187175549</v>
      </c>
      <c r="EK37" s="7">
        <f>STDEV(ER21:ER23)</f>
        <v>759.64436553284372</v>
      </c>
      <c r="EL37" s="7">
        <f t="shared" si="123"/>
        <v>438.58087892876983</v>
      </c>
      <c r="EM37" s="6">
        <f>AVERAGE(ER24:ER26)</f>
        <v>1667.741682504648</v>
      </c>
      <c r="EN37" s="6">
        <f>STDEV(ER24:ER26)</f>
        <v>216.9256931787443</v>
      </c>
      <c r="EO37" s="6">
        <f>EN37/SQRT(2)</f>
        <v>153.38962866028248</v>
      </c>
      <c r="EP37">
        <f t="shared" si="125"/>
        <v>35.555855429519688</v>
      </c>
      <c r="EQ37">
        <f t="shared" si="126"/>
        <v>9.197445280009962</v>
      </c>
      <c r="ES37">
        <v>48</v>
      </c>
      <c r="ET37" s="7">
        <f>AVERAGE(FB21:FB23)</f>
        <v>507.28809004524328</v>
      </c>
      <c r="EU37" s="7">
        <f>STDEV(FB21:FB23)</f>
        <v>77.656659343274399</v>
      </c>
      <c r="EV37" s="7">
        <f t="shared" si="127"/>
        <v>44.835093176206541</v>
      </c>
      <c r="EW37" s="6">
        <f>AVERAGE(FB24:FB26)</f>
        <v>748.05435538690972</v>
      </c>
      <c r="EX37" s="6">
        <f>STDEV(FB24:FB26)</f>
        <v>602.45775622614565</v>
      </c>
      <c r="EY37" s="6">
        <f t="shared" si="128"/>
        <v>347.82914773254316</v>
      </c>
      <c r="EZ37">
        <f t="shared" si="129"/>
        <v>8.8381915633398478</v>
      </c>
      <c r="FA37">
        <f t="shared" si="130"/>
        <v>46.497844070787941</v>
      </c>
      <c r="FG37" s="31" t="s">
        <v>829</v>
      </c>
      <c r="FL37">
        <v>48</v>
      </c>
      <c r="FM37" s="7" t="e">
        <f>AVERAGE(FS21:FS22)</f>
        <v>#DIV/0!</v>
      </c>
      <c r="FN37" s="7" t="e">
        <f>STDEV(FS21:FS22)</f>
        <v>#DIV/0!</v>
      </c>
      <c r="FO37" s="7" t="e">
        <f>FN37/SQRT(2)</f>
        <v>#DIV/0!</v>
      </c>
      <c r="FP37" s="6" t="e">
        <f>AVERAGE(FS24:FS25)</f>
        <v>#DIV/0!</v>
      </c>
      <c r="FQ37" s="6" t="e">
        <f>STDEV(FS24:FS25)</f>
        <v>#DIV/0!</v>
      </c>
      <c r="FR37" s="6" t="e">
        <f>FQ37/SQRT(2)</f>
        <v>#DIV/0!</v>
      </c>
    </row>
    <row r="38" spans="1:174">
      <c r="U38" s="23" t="s">
        <v>703</v>
      </c>
      <c r="AF38">
        <v>24</v>
      </c>
      <c r="AG38">
        <f>AVERAGE(AK15:AK17)</f>
        <v>4.0666666666666663E-2</v>
      </c>
      <c r="AH38">
        <f>STDEV(AK15:AK17)</f>
        <v>1.9502136635080096E-2</v>
      </c>
      <c r="AI38">
        <f t="shared" si="131"/>
        <v>1.1259563836036357E-2</v>
      </c>
      <c r="AJ38">
        <f>AVERAGE(AK18:AK20)</f>
        <v>0.12995411044151015</v>
      </c>
      <c r="AK38">
        <f>STDEV(AK18:AK20)</f>
        <v>8.6926133226729804E-2</v>
      </c>
      <c r="AL38">
        <f t="shared" si="132"/>
        <v>5.0186826418065725E-2</v>
      </c>
      <c r="AN38" t="s">
        <v>675</v>
      </c>
      <c r="AT38">
        <f>AVERAGE(AT34:AU37)</f>
        <v>23.632010447126863</v>
      </c>
      <c r="BB38" t="s">
        <v>257</v>
      </c>
      <c r="BC38">
        <f>AVERAGE(BC34:BC37)</f>
        <v>27.070498733607103</v>
      </c>
      <c r="BD38">
        <f>AVERAGE(BD34:BD37)</f>
        <v>28.044756198906178</v>
      </c>
      <c r="BI38" t="s">
        <v>851</v>
      </c>
      <c r="BN38">
        <f>AVERAGE(BN34:BO37)</f>
        <v>56.561044286328389</v>
      </c>
      <c r="BS38" t="s">
        <v>850</v>
      </c>
      <c r="BX38">
        <f>AVERAGE(BX34:BY37)</f>
        <v>52.746967348358993</v>
      </c>
      <c r="BZ38">
        <f>STDEV(BT3:BT26)</f>
        <v>1.6217498154056065</v>
      </c>
      <c r="CC38" t="s">
        <v>853</v>
      </c>
      <c r="CH38">
        <f>AVERAGE(CH34:CI37)</f>
        <v>51.341734591544771</v>
      </c>
      <c r="CM38" t="s">
        <v>877</v>
      </c>
      <c r="CR38">
        <f>AVERAGE(CR34:CS37)</f>
        <v>19.597731809219347</v>
      </c>
      <c r="CW38" t="s">
        <v>877</v>
      </c>
      <c r="DB38" s="7">
        <f>AVERAGE(DB34:DC37)</f>
        <v>18.058202088306789</v>
      </c>
      <c r="DG38" t="s">
        <v>879</v>
      </c>
      <c r="DL38">
        <f>AVERAGE(DL34:DM37)</f>
        <v>22.756531810923036</v>
      </c>
      <c r="DV38">
        <f>AVERAGE(DV34:DW37)</f>
        <v>25.673697918186154</v>
      </c>
      <c r="DW38">
        <f>STDEV(DV34:DW37)</f>
        <v>15.164268657157159</v>
      </c>
      <c r="DZ38" t="s">
        <v>672</v>
      </c>
      <c r="EF38">
        <f>AVERAGE(EF34:EG37)</f>
        <v>36.512869149006733</v>
      </c>
      <c r="EG38">
        <f>STDEV(EF34:EG37)</f>
        <v>17.413241069980085</v>
      </c>
      <c r="EK38" t="s">
        <v>672</v>
      </c>
      <c r="EP38">
        <f>AVERAGE(EP34:EQ37)</f>
        <v>32.64773915827012</v>
      </c>
      <c r="EQ38">
        <f>STDEV(EP34:EQ37)</f>
        <v>11.880806769388327</v>
      </c>
      <c r="EU38" t="s">
        <v>883</v>
      </c>
      <c r="EZ38">
        <f>AVERAGE(EZ34:FA37)</f>
        <v>25.734006803262801</v>
      </c>
      <c r="FA38">
        <f>STDEV(EZ34:FA37)</f>
        <v>14.029245917877146</v>
      </c>
      <c r="FG38" t="s">
        <v>633</v>
      </c>
      <c r="FH38">
        <v>6</v>
      </c>
      <c r="FI38">
        <v>12</v>
      </c>
      <c r="FJ38">
        <v>24</v>
      </c>
      <c r="FK38">
        <v>48</v>
      </c>
    </row>
    <row r="39" spans="1:174">
      <c r="U39" s="23" t="s">
        <v>704</v>
      </c>
      <c r="AF39">
        <v>48</v>
      </c>
      <c r="AG39">
        <f>AVERAGE(AK21:AK23)</f>
        <v>7.1432445066156022E-2</v>
      </c>
      <c r="AH39">
        <f>STDEV(AK21:AK23)</f>
        <v>4.2256580130474695E-2</v>
      </c>
      <c r="AI39">
        <f t="shared" si="131"/>
        <v>2.4396847913362558E-2</v>
      </c>
      <c r="AJ39">
        <f>AVERAGE(AK24:AK26)</f>
        <v>4.5851648147765524E-2</v>
      </c>
      <c r="AK39">
        <f>STDEV(AK24:AK26)</f>
        <v>2.2719263053235569E-2</v>
      </c>
      <c r="AL39">
        <f t="shared" si="132"/>
        <v>1.3116972639575475E-2</v>
      </c>
      <c r="AN39" t="s">
        <v>676</v>
      </c>
      <c r="BC39" s="5">
        <v>0.27500000000000002</v>
      </c>
      <c r="BG39" t="s">
        <v>250</v>
      </c>
      <c r="BH39" s="7" t="s">
        <v>663</v>
      </c>
      <c r="BI39" s="7" t="s">
        <v>659</v>
      </c>
      <c r="BJ39" s="7" t="s">
        <v>660</v>
      </c>
      <c r="BK39" s="6" t="s">
        <v>664</v>
      </c>
      <c r="BL39" s="6" t="s">
        <v>661</v>
      </c>
      <c r="BM39" s="6" t="s">
        <v>662</v>
      </c>
      <c r="BN39" s="7" t="s">
        <v>854</v>
      </c>
      <c r="BO39" s="6" t="s">
        <v>882</v>
      </c>
      <c r="BQ39" t="s">
        <v>250</v>
      </c>
      <c r="BR39" s="7" t="s">
        <v>663</v>
      </c>
      <c r="BS39" s="7" t="s">
        <v>659</v>
      </c>
      <c r="BT39" s="7" t="s">
        <v>660</v>
      </c>
      <c r="BU39" s="6" t="s">
        <v>664</v>
      </c>
      <c r="BV39" s="6" t="s">
        <v>661</v>
      </c>
      <c r="BW39" s="6" t="s">
        <v>662</v>
      </c>
      <c r="BX39" s="7" t="s">
        <v>854</v>
      </c>
      <c r="BY39" s="6" t="s">
        <v>882</v>
      </c>
      <c r="CA39" t="s">
        <v>250</v>
      </c>
      <c r="CB39" s="7" t="s">
        <v>663</v>
      </c>
      <c r="CC39" s="7" t="s">
        <v>659</v>
      </c>
      <c r="CD39" s="7" t="s">
        <v>660</v>
      </c>
      <c r="CE39" s="6" t="s">
        <v>664</v>
      </c>
      <c r="CF39" s="6" t="s">
        <v>661</v>
      </c>
      <c r="CG39" s="6" t="s">
        <v>662</v>
      </c>
      <c r="CH39" s="7" t="s">
        <v>854</v>
      </c>
      <c r="CI39" s="6" t="s">
        <v>882</v>
      </c>
      <c r="CK39" t="s">
        <v>250</v>
      </c>
      <c r="CL39" s="7" t="s">
        <v>663</v>
      </c>
      <c r="CM39" s="7" t="s">
        <v>659</v>
      </c>
      <c r="CN39" s="7" t="s">
        <v>660</v>
      </c>
      <c r="CO39" s="6" t="s">
        <v>664</v>
      </c>
      <c r="CP39" s="6" t="s">
        <v>661</v>
      </c>
      <c r="CQ39" s="6" t="s">
        <v>662</v>
      </c>
      <c r="CR39" s="7" t="s">
        <v>854</v>
      </c>
      <c r="CS39" s="6" t="s">
        <v>882</v>
      </c>
      <c r="CU39" t="s">
        <v>250</v>
      </c>
      <c r="CV39" s="7" t="s">
        <v>663</v>
      </c>
      <c r="CW39" s="7" t="s">
        <v>659</v>
      </c>
      <c r="CX39" s="7" t="s">
        <v>660</v>
      </c>
      <c r="CY39" s="6" t="s">
        <v>664</v>
      </c>
      <c r="CZ39" s="6" t="s">
        <v>661</v>
      </c>
      <c r="DA39" s="6" t="s">
        <v>662</v>
      </c>
      <c r="DB39" s="7" t="s">
        <v>854</v>
      </c>
      <c r="DC39" s="6" t="s">
        <v>882</v>
      </c>
      <c r="DE39" t="s">
        <v>250</v>
      </c>
      <c r="DF39" s="7" t="s">
        <v>663</v>
      </c>
      <c r="DG39" s="7" t="s">
        <v>659</v>
      </c>
      <c r="DH39" s="7" t="s">
        <v>660</v>
      </c>
      <c r="DI39" s="6" t="s">
        <v>664</v>
      </c>
      <c r="DJ39" s="6" t="s">
        <v>661</v>
      </c>
      <c r="DK39" s="6" t="s">
        <v>662</v>
      </c>
      <c r="DL39" s="7" t="s">
        <v>887</v>
      </c>
      <c r="DM39" s="6" t="s">
        <v>890</v>
      </c>
      <c r="DP39" t="s">
        <v>877</v>
      </c>
      <c r="DY39" t="s">
        <v>250</v>
      </c>
      <c r="DZ39" s="7" t="s">
        <v>663</v>
      </c>
      <c r="EA39" s="7" t="s">
        <v>659</v>
      </c>
      <c r="EB39" s="7" t="s">
        <v>660</v>
      </c>
      <c r="EC39" s="6" t="s">
        <v>664</v>
      </c>
      <c r="ED39" s="6" t="s">
        <v>661</v>
      </c>
      <c r="EE39" s="6" t="s">
        <v>662</v>
      </c>
      <c r="EF39" s="7" t="s">
        <v>887</v>
      </c>
      <c r="EG39" s="6" t="s">
        <v>882</v>
      </c>
      <c r="EI39" t="s">
        <v>250</v>
      </c>
      <c r="EJ39" s="7" t="s">
        <v>663</v>
      </c>
      <c r="EK39" s="7" t="s">
        <v>659</v>
      </c>
      <c r="EL39" s="7" t="s">
        <v>660</v>
      </c>
      <c r="EM39" s="6" t="s">
        <v>664</v>
      </c>
      <c r="EN39" s="6" t="s">
        <v>661</v>
      </c>
      <c r="EO39" s="6" t="s">
        <v>662</v>
      </c>
      <c r="EP39" s="7" t="s">
        <v>854</v>
      </c>
      <c r="EQ39" s="6" t="s">
        <v>882</v>
      </c>
      <c r="ES39" t="s">
        <v>250</v>
      </c>
      <c r="ET39" s="7" t="s">
        <v>663</v>
      </c>
      <c r="EU39" s="7" t="s">
        <v>659</v>
      </c>
      <c r="EV39" s="7" t="s">
        <v>660</v>
      </c>
      <c r="EW39" s="6" t="s">
        <v>664</v>
      </c>
      <c r="EX39" s="6" t="s">
        <v>661</v>
      </c>
      <c r="EY39" s="6" t="s">
        <v>662</v>
      </c>
      <c r="EZ39" s="7" t="s">
        <v>881</v>
      </c>
      <c r="FA39" s="6" t="s">
        <v>882</v>
      </c>
      <c r="FG39" s="7" t="s">
        <v>826</v>
      </c>
      <c r="FH39" t="s">
        <v>832</v>
      </c>
      <c r="FI39" t="s">
        <v>832</v>
      </c>
      <c r="FJ39" t="s">
        <v>272</v>
      </c>
      <c r="FK39" t="s">
        <v>832</v>
      </c>
      <c r="FM39" t="s">
        <v>834</v>
      </c>
    </row>
    <row r="40" spans="1:174">
      <c r="U40" s="23" t="s">
        <v>705</v>
      </c>
      <c r="AG40" s="31" t="s">
        <v>714</v>
      </c>
      <c r="AN40" t="s">
        <v>667</v>
      </c>
      <c r="AQ40" s="31" t="s">
        <v>718</v>
      </c>
      <c r="AX40" s="31" t="s">
        <v>719</v>
      </c>
      <c r="BG40">
        <v>6</v>
      </c>
      <c r="BH40">
        <f>AVERAGE(BO3:BO5)</f>
        <v>125.34697081597199</v>
      </c>
      <c r="BI40">
        <f>STDEV(BO3:BO5)</f>
        <v>20.813776939856936</v>
      </c>
      <c r="BJ40">
        <f>BI40/SQRT(3)</f>
        <v>12.016839719079227</v>
      </c>
      <c r="BK40">
        <f>AVERAGE(BO6:BO8)</f>
        <v>105.28691869511135</v>
      </c>
      <c r="BL40">
        <f>STDEV(BO6:BO8)</f>
        <v>73.516662085365098</v>
      </c>
      <c r="BM40">
        <f>BL40/SQRT(3)</f>
        <v>42.444864644908293</v>
      </c>
      <c r="BN40">
        <f t="shared" si="93"/>
        <v>9.5868608877048462</v>
      </c>
      <c r="BO40">
        <f t="shared" si="94"/>
        <v>40.313521538055113</v>
      </c>
      <c r="BQ40">
        <v>6</v>
      </c>
      <c r="BR40">
        <f>AVERAGE(BY3:BY5)</f>
        <v>4.0839612868455184</v>
      </c>
      <c r="BS40">
        <f>STDEV(BY3:BY5)</f>
        <v>0.51566538369512449</v>
      </c>
      <c r="BT40">
        <f>BS40/SQRT(3)</f>
        <v>0.29771954808815182</v>
      </c>
      <c r="BU40">
        <f>AVERAGE(BY6:BY8)</f>
        <v>3.8358429709137489</v>
      </c>
      <c r="BV40">
        <f>STDEV(BY6:BY8)</f>
        <v>2.5716575146497065</v>
      </c>
      <c r="BW40">
        <f>BV40/SQRT(3)</f>
        <v>1.4847471583465321</v>
      </c>
      <c r="BX40">
        <f t="shared" si="97"/>
        <v>7.289969888968086</v>
      </c>
      <c r="BY40">
        <f t="shared" si="98"/>
        <v>38.707193428015785</v>
      </c>
      <c r="BZ40">
        <v>26.4</v>
      </c>
      <c r="CA40">
        <v>6</v>
      </c>
      <c r="CB40">
        <f>AVERAGE(CI3:CI5)</f>
        <v>0.20567305087580734</v>
      </c>
      <c r="CC40">
        <f>STDEV(CI3:CI5)</f>
        <v>4.8189180887056253E-2</v>
      </c>
      <c r="CD40">
        <f>CC40/SQRT(3)</f>
        <v>2.7822036557169499E-2</v>
      </c>
      <c r="CE40">
        <f>AVERAGE(CI6:CI8)</f>
        <v>0.2195394359530152</v>
      </c>
      <c r="CF40">
        <f>STDEV(CI6:CI8)</f>
        <v>3.5391483293952052E-2</v>
      </c>
      <c r="CG40">
        <f>CF40/SQRT(3)</f>
        <v>2.0433282406783361E-2</v>
      </c>
      <c r="CH40">
        <f>CD40/CB40*100</f>
        <v>13.527312615190128</v>
      </c>
      <c r="CI40">
        <f t="shared" si="102"/>
        <v>9.3073403045256971</v>
      </c>
      <c r="CK40">
        <v>6</v>
      </c>
      <c r="CL40">
        <f>AVERAGE(CS3:CS5)</f>
        <v>61.112175754635963</v>
      </c>
      <c r="CM40">
        <f>STDEV(CS3:CS5)</f>
        <v>45.769274283222408</v>
      </c>
      <c r="CN40">
        <f>CM40/SQRT(3)</f>
        <v>26.424902828032273</v>
      </c>
      <c r="CO40">
        <f>AVERAGE(CS6:CS8)</f>
        <v>105.81523357885742</v>
      </c>
      <c r="CP40">
        <f>STDEV(CS6:CS8)</f>
        <v>28.534493201422237</v>
      </c>
      <c r="CQ40">
        <f>CP40/SQRT(3)</f>
        <v>16.474397331030676</v>
      </c>
      <c r="CR40">
        <f>CN40/CL40*100</f>
        <v>43.239996779246866</v>
      </c>
      <c r="CS40">
        <f>CQ40/CO40*100</f>
        <v>15.569022317333307</v>
      </c>
      <c r="CU40">
        <v>6</v>
      </c>
      <c r="CV40">
        <f>AVERAGE(DC3:DC5)</f>
        <v>12.459256276925435</v>
      </c>
      <c r="CW40">
        <f>STDEV(DC3:DC5)</f>
        <v>7.066125842811374</v>
      </c>
      <c r="CX40">
        <f>CW40/SQRT(3)</f>
        <v>4.0796296574749187</v>
      </c>
      <c r="CY40">
        <f>AVERAGE(DC6:DC8)</f>
        <v>34.389951327867372</v>
      </c>
      <c r="CZ40">
        <f>STDEV(DC6:DC8)</f>
        <v>11.336187666253519</v>
      </c>
      <c r="DA40">
        <f>CZ40/SQRT(3)</f>
        <v>6.5449510006955851</v>
      </c>
      <c r="DB40">
        <f>CX40/CV40*100</f>
        <v>32.743765492892216</v>
      </c>
      <c r="DC40">
        <f>DA40/CY40*100</f>
        <v>19.031579714368434</v>
      </c>
      <c r="DE40">
        <v>6</v>
      </c>
      <c r="DF40">
        <f>AVERAGE(DL3:DL5)</f>
        <v>450.16853277533932</v>
      </c>
      <c r="DG40">
        <f>STDEV(DL3:DL5)</f>
        <v>107.84091334237837</v>
      </c>
      <c r="DH40">
        <f>DG40/SQRT(3)</f>
        <v>62.261980347877262</v>
      </c>
      <c r="DI40">
        <f>AVERAGE(DL6:DL8)</f>
        <v>497.53023574060444</v>
      </c>
      <c r="DJ40">
        <f>STDEV(DL6:DL8)</f>
        <v>305.47277776514551</v>
      </c>
      <c r="DK40">
        <f>DJ40/SQRT(3)</f>
        <v>176.36479047280949</v>
      </c>
      <c r="DL40">
        <f>DH40/DF40*100</f>
        <v>13.83081575338578</v>
      </c>
      <c r="DM40">
        <f>DK40/DI40*100</f>
        <v>35.448054772044081</v>
      </c>
      <c r="DO40" t="s">
        <v>250</v>
      </c>
      <c r="DP40" s="7" t="s">
        <v>663</v>
      </c>
      <c r="DQ40" s="7" t="s">
        <v>659</v>
      </c>
      <c r="DR40" s="7" t="s">
        <v>660</v>
      </c>
      <c r="DS40" s="6" t="s">
        <v>664</v>
      </c>
      <c r="DT40" s="6" t="s">
        <v>661</v>
      </c>
      <c r="DU40" s="6" t="s">
        <v>662</v>
      </c>
      <c r="DV40" s="6" t="s">
        <v>876</v>
      </c>
      <c r="DY40">
        <v>6</v>
      </c>
      <c r="DZ40">
        <f>AVERAGE(EG3:EG5)</f>
        <v>267.42386938921021</v>
      </c>
      <c r="EA40">
        <f>STDEV(EG3:EG5)</f>
        <v>178.64071251657248</v>
      </c>
      <c r="EB40">
        <f>EA40/SQRT(3)</f>
        <v>103.13826345966967</v>
      </c>
      <c r="EC40">
        <f>AVERAGE(EG6:EG8)</f>
        <v>315.41189538528579</v>
      </c>
      <c r="ED40">
        <f>STDEV(EG6:EG8)</f>
        <v>218.09498019877435</v>
      </c>
      <c r="EE40">
        <f>ED40/SQRT(3)</f>
        <v>125.91719552666848</v>
      </c>
      <c r="EF40">
        <f>EB40/DZ40*100</f>
        <v>38.567336451766636</v>
      </c>
      <c r="EG40">
        <f>EE40/EC40*100</f>
        <v>39.92151132184047</v>
      </c>
      <c r="EI40">
        <v>6</v>
      </c>
      <c r="EJ40">
        <f>AVERAGE(EQ3:EQ5)</f>
        <v>1319.7994132495839</v>
      </c>
      <c r="EK40">
        <f>STDEV(EQ3:EQ5)</f>
        <v>512.41277696116003</v>
      </c>
      <c r="EL40">
        <f>EK40/SQRT(3)</f>
        <v>295.84165471472943</v>
      </c>
      <c r="EM40">
        <f>AVERAGE(EQ6:EQ8)</f>
        <v>1376.7236521114917</v>
      </c>
      <c r="EN40">
        <f>STDEV(EQ6:EQ8)</f>
        <v>674.31394711294433</v>
      </c>
      <c r="EO40">
        <f>EN40/SQRT(3)</f>
        <v>389.31533888397752</v>
      </c>
      <c r="EP40">
        <f>EL40/EJ40*100</f>
        <v>22.415652844269264</v>
      </c>
      <c r="EQ40">
        <f>EO40/EM40*100</f>
        <v>28.278394018064667</v>
      </c>
      <c r="ES40">
        <v>6</v>
      </c>
      <c r="ET40">
        <f>AVERAGE(FA3:FA5)</f>
        <v>1173.4379963871731</v>
      </c>
      <c r="EU40">
        <f>STDEV(FA3:FA5)</f>
        <v>570.14817319447081</v>
      </c>
      <c r="EV40">
        <f>EU40/SQRT(3)</f>
        <v>329.17520127180114</v>
      </c>
      <c r="EW40">
        <f>AVERAGE(FA6:FA8)</f>
        <v>1711.3807636233366</v>
      </c>
      <c r="EX40">
        <f>STDEV(FA6:FA8)</f>
        <v>110.86911557193611</v>
      </c>
      <c r="EY40">
        <f>EX40/SQRT(3)</f>
        <v>64.010313720273047</v>
      </c>
      <c r="EZ40">
        <f>EV40/ET40*100</f>
        <v>28.052202356262423</v>
      </c>
      <c r="FA40">
        <f>EY40/EW40*100</f>
        <v>3.7402730637657955</v>
      </c>
      <c r="FG40" s="6" t="s">
        <v>635</v>
      </c>
      <c r="FH40" t="s">
        <v>832</v>
      </c>
      <c r="FI40" t="s">
        <v>832</v>
      </c>
      <c r="FJ40" t="s">
        <v>832</v>
      </c>
      <c r="FK40" t="s">
        <v>832</v>
      </c>
    </row>
    <row r="41" spans="1:174">
      <c r="U41" s="23" t="s">
        <v>706</v>
      </c>
      <c r="AF41" t="s">
        <v>658</v>
      </c>
      <c r="AG41" t="s">
        <v>663</v>
      </c>
      <c r="AH41" t="s">
        <v>659</v>
      </c>
      <c r="AI41" t="s">
        <v>660</v>
      </c>
      <c r="AJ41" t="s">
        <v>664</v>
      </c>
      <c r="AK41" t="s">
        <v>661</v>
      </c>
      <c r="AL41" t="s">
        <v>662</v>
      </c>
      <c r="AM41" t="s">
        <v>250</v>
      </c>
      <c r="AN41" t="s">
        <v>663</v>
      </c>
      <c r="AO41" t="s">
        <v>659</v>
      </c>
      <c r="AP41" t="s">
        <v>660</v>
      </c>
      <c r="AQ41" t="s">
        <v>664</v>
      </c>
      <c r="AR41" t="s">
        <v>661</v>
      </c>
      <c r="AS41" t="s">
        <v>662</v>
      </c>
      <c r="AT41" t="s">
        <v>854</v>
      </c>
      <c r="AU41" t="s">
        <v>882</v>
      </c>
      <c r="AW41" t="s">
        <v>250</v>
      </c>
      <c r="AX41" t="s">
        <v>663</v>
      </c>
      <c r="AY41" t="s">
        <v>659</v>
      </c>
      <c r="AZ41" t="s">
        <v>660</v>
      </c>
      <c r="BA41" t="s">
        <v>664</v>
      </c>
      <c r="BB41" t="s">
        <v>661</v>
      </c>
      <c r="BC41" t="s">
        <v>662</v>
      </c>
      <c r="BD41" t="s">
        <v>848</v>
      </c>
      <c r="BE41" t="s">
        <v>849</v>
      </c>
      <c r="BG41">
        <v>12</v>
      </c>
      <c r="BH41">
        <f>AVERAGE(BO9:BO11)</f>
        <v>149.5964993720857</v>
      </c>
      <c r="BI41">
        <f>STDEV(BO9:BO11)</f>
        <v>58.128722627632762</v>
      </c>
      <c r="BJ41">
        <f t="shared" ref="BJ41:BJ43" si="133">BI41/SQRT(3)</f>
        <v>33.560633656712866</v>
      </c>
      <c r="BK41">
        <f>AVERAGE(BO12:BO14)</f>
        <v>112.78170687454612</v>
      </c>
      <c r="BL41">
        <f>STDEV(BO12:BO14)</f>
        <v>93.601906200967818</v>
      </c>
      <c r="BM41">
        <f t="shared" ref="BM41:BM43" si="134">BL41/SQRT(3)</f>
        <v>54.041085741790873</v>
      </c>
      <c r="BN41">
        <f t="shared" si="93"/>
        <v>22.434103603747289</v>
      </c>
      <c r="BO41">
        <f t="shared" si="94"/>
        <v>47.916534728370472</v>
      </c>
      <c r="BQ41">
        <v>12</v>
      </c>
      <c r="BR41">
        <f>AVERAGE(BY9:BY11)</f>
        <v>4.8468187624498809</v>
      </c>
      <c r="BS41">
        <f>STDEV(BY9:BY11)</f>
        <v>1.1886748541627272</v>
      </c>
      <c r="BT41">
        <f t="shared" ref="BT41:BT43" si="135">BS41/SQRT(3)</f>
        <v>0.68628174702978972</v>
      </c>
      <c r="BU41">
        <f>AVERAGE(BY12:BY14)</f>
        <v>5.3099174537454452</v>
      </c>
      <c r="BV41">
        <f>STDEV(BY12:BY14)</f>
        <v>5.2099603781283363</v>
      </c>
      <c r="BW41">
        <f t="shared" ref="BW41:BW43" si="136">BV41/SQRT(3)</f>
        <v>3.0079720267796795</v>
      </c>
      <c r="BX41">
        <f t="shared" si="97"/>
        <v>14.159426639730608</v>
      </c>
      <c r="BY41">
        <f t="shared" si="98"/>
        <v>56.648188092979723</v>
      </c>
      <c r="BZ41">
        <v>1.62</v>
      </c>
      <c r="CA41">
        <v>12</v>
      </c>
      <c r="CB41">
        <f>AVERAGE(CI9:CI11)</f>
        <v>0.32458382275313974</v>
      </c>
      <c r="CC41">
        <f>STDEV(CI9:CI11)</f>
        <v>0.1235971495183668</v>
      </c>
      <c r="CD41">
        <f t="shared" ref="CD41:CD43" si="137">CC41/SQRT(3)</f>
        <v>7.1358847545499496E-2</v>
      </c>
      <c r="CE41">
        <f>AVERAGE(CI12:CI14)</f>
        <v>0.26768617595198102</v>
      </c>
      <c r="CF41">
        <f>STDEV(CI12:CI14)</f>
        <v>0.18391198930515479</v>
      </c>
      <c r="CG41">
        <f t="shared" ref="CG41:CG43" si="138">CF41/SQRT(3)</f>
        <v>0.1061816365325307</v>
      </c>
      <c r="CH41">
        <f t="shared" si="101"/>
        <v>21.984720908216993</v>
      </c>
      <c r="CI41">
        <f t="shared" si="102"/>
        <v>39.666462474169052</v>
      </c>
      <c r="CK41">
        <v>12</v>
      </c>
      <c r="CL41">
        <f>AVERAGE(CS9:CS11)</f>
        <v>139.34409704954911</v>
      </c>
      <c r="CM41">
        <f>STDEV(CS9:CS11)</f>
        <v>57.23572102270245</v>
      </c>
      <c r="CN41">
        <f t="shared" ref="CN41:CN43" si="139">CM41/SQRT(3)</f>
        <v>33.045058939719581</v>
      </c>
      <c r="CO41">
        <f>AVERAGE(CS12:CS14)</f>
        <v>83.45080958071479</v>
      </c>
      <c r="CP41">
        <f>STDEV(CS12:CS14)</f>
        <v>18.170786536565124</v>
      </c>
      <c r="CQ41">
        <f t="shared" ref="CQ41:CQ43" si="140">CP41/SQRT(3)</f>
        <v>10.490908498273102</v>
      </c>
      <c r="CR41">
        <f t="shared" ref="CR41:CR43" si="141">CN41/CL41*100</f>
        <v>23.714717479542138</v>
      </c>
      <c r="CS41">
        <f t="shared" ref="CS41:CS43" si="142">CQ41/CO41*100</f>
        <v>12.571368152068255</v>
      </c>
      <c r="CU41">
        <v>12</v>
      </c>
      <c r="CV41">
        <f>AVERAGE(DC9:DC11)</f>
        <v>29.189580077548115</v>
      </c>
      <c r="CW41">
        <f>STDEV(DC9:DC11)</f>
        <v>6.5809655108663581</v>
      </c>
      <c r="CX41">
        <f t="shared" ref="CX41:CX43" si="143">CW41/SQRT(3)</f>
        <v>3.799522209226335</v>
      </c>
      <c r="CY41">
        <f>AVERAGE(DC12:DC14)</f>
        <v>40.205623957591826</v>
      </c>
      <c r="CZ41">
        <f>STDEV(DC12:DC14)</f>
        <v>8.5535648319088029</v>
      </c>
      <c r="DA41">
        <f t="shared" ref="DA41:DA43" si="144">CZ41/SQRT(3)</f>
        <v>4.9384029582334641</v>
      </c>
      <c r="DB41">
        <f t="shared" ref="DB41:DB43" si="145">CX41/CV41*100</f>
        <v>13.016707328889707</v>
      </c>
      <c r="DC41">
        <f t="shared" ref="DC41:DC43" si="146">DA41/CY41*100</f>
        <v>12.282866107095872</v>
      </c>
      <c r="DE41">
        <v>12</v>
      </c>
      <c r="DF41">
        <f>AVERAGE(DL9:DL11)</f>
        <v>544.28060276154463</v>
      </c>
      <c r="DG41">
        <f>STDEV(DL9:DL11)</f>
        <v>199.49530607564023</v>
      </c>
      <c r="DH41">
        <f t="shared" ref="DH41:DH43" si="147">DG41/SQRT(3)</f>
        <v>115.17866866483767</v>
      </c>
      <c r="DI41">
        <f>AVERAGE(DL12:DL14)</f>
        <v>410.9836280568922</v>
      </c>
      <c r="DJ41">
        <f>STDEV(DL12:DL14)</f>
        <v>52.490779032186609</v>
      </c>
      <c r="DK41">
        <f t="shared" ref="DK41:DK42" si="148">DJ41/SQRT(3)</f>
        <v>30.305565404206103</v>
      </c>
      <c r="DL41">
        <f t="shared" ref="DL41:DL43" si="149">DH41/DF41*100</f>
        <v>21.161633921997165</v>
      </c>
      <c r="DM41">
        <f t="shared" ref="DM41:DM43" si="150">DK41/DI41*100</f>
        <v>7.3739106220578998</v>
      </c>
      <c r="DO41">
        <v>6</v>
      </c>
      <c r="DP41">
        <f>AVERAGE(DW3:DW5)</f>
        <v>1422.8816016148203</v>
      </c>
      <c r="DQ41">
        <f>STDEV(DW3:DW5)</f>
        <v>541.52033659057884</v>
      </c>
      <c r="DR41">
        <f>DQ41/SQRT(3)</f>
        <v>312.64691210222747</v>
      </c>
      <c r="DS41">
        <f>AVERAGE(DW6:DW8)</f>
        <v>1492.4656399136913</v>
      </c>
      <c r="DT41">
        <f>STDEV(DW6:DW8)</f>
        <v>148.33674311440981</v>
      </c>
      <c r="DU41">
        <f>DT41/SQRT(3)</f>
        <v>85.642258567816882</v>
      </c>
      <c r="DV41">
        <f>DR41/DP41*100</f>
        <v>21.972798843375742</v>
      </c>
      <c r="DW41">
        <f>DU41/DS41*100</f>
        <v>5.7383068847581331</v>
      </c>
      <c r="DY41">
        <v>12</v>
      </c>
      <c r="DZ41">
        <f>AVERAGE(EG9:EG11)</f>
        <v>357.50944467718972</v>
      </c>
      <c r="EA41">
        <f>STDEV(EG9:EG11)</f>
        <v>278.70310153203326</v>
      </c>
      <c r="EB41">
        <f t="shared" ref="EB41:EB43" si="151">EA41/SQRT(3)</f>
        <v>160.90931069350302</v>
      </c>
      <c r="EC41">
        <f>AVERAGE(EG12:EG14)</f>
        <v>39.417244204512926</v>
      </c>
      <c r="ED41">
        <f>STDEV(EG12:EG14)</f>
        <v>4.6053444269453196</v>
      </c>
      <c r="EE41">
        <f t="shared" ref="EE41:EE42" si="152">ED41/SQRT(3)</f>
        <v>2.6588968446078232</v>
      </c>
      <c r="EF41">
        <f t="shared" ref="EF41:EF43" si="153">EB41/DZ41*100</f>
        <v>45.008408334161572</v>
      </c>
      <c r="EG41">
        <f t="shared" ref="EG41:EG43" si="154">EE41/EC41*100</f>
        <v>6.7455168372815955</v>
      </c>
      <c r="EI41">
        <v>12</v>
      </c>
      <c r="EJ41">
        <f>AVERAGE(EQ9:EQ11)</f>
        <v>986.97547582816969</v>
      </c>
      <c r="EK41">
        <f>STDEV(EQ9:EQ11)</f>
        <v>403.19253612001233</v>
      </c>
      <c r="EL41">
        <f t="shared" ref="EL41:EL43" si="155">EK41/SQRT(3)</f>
        <v>232.78331926413705</v>
      </c>
      <c r="EM41">
        <f>AVERAGE(EQ12:EQ14)</f>
        <v>1009.3833539928414</v>
      </c>
      <c r="EN41">
        <f>STDEV(EQ12:EQ14)</f>
        <v>740.19956009046018</v>
      </c>
      <c r="EO41">
        <f t="shared" ref="EO41:EO42" si="156">EN41/SQRT(3)</f>
        <v>427.35441527226976</v>
      </c>
      <c r="EP41">
        <f t="shared" ref="EP41:EP43" si="157">EL41/EJ41*100</f>
        <v>23.585522129494546</v>
      </c>
      <c r="EQ41">
        <f t="shared" ref="EQ41:EQ43" si="158">EO41/EM41*100</f>
        <v>42.338167514034566</v>
      </c>
      <c r="ES41">
        <v>12</v>
      </c>
      <c r="ET41">
        <f>AVERAGE(FA9:FA11)</f>
        <v>561.41032387235123</v>
      </c>
      <c r="EU41">
        <f>STDEV(FA9:FA11)</f>
        <v>308.31218005124606</v>
      </c>
      <c r="EV41">
        <f t="shared" ref="EV41:EV43" si="159">EU41/SQRT(3)</f>
        <v>178.00412014702729</v>
      </c>
      <c r="EW41">
        <f>AVERAGE(FA12:FA14)</f>
        <v>494.21585859786757</v>
      </c>
      <c r="EX41">
        <f>STDEV(FA12:FA14)</f>
        <v>315.89881511252923</v>
      </c>
      <c r="EY41">
        <f>EX41/SQRT(3)</f>
        <v>182.38426594190258</v>
      </c>
      <c r="EZ41">
        <f t="shared" ref="EZ41:EZ43" si="160">EV41/ET41*100</f>
        <v>31.706599002176596</v>
      </c>
      <c r="FA41">
        <f t="shared" ref="FA41:FA43" si="161">EY41/EW41*100</f>
        <v>36.903766394575491</v>
      </c>
      <c r="FG41" s="31" t="s">
        <v>833</v>
      </c>
    </row>
    <row r="42" spans="1:174">
      <c r="U42" s="23" t="s">
        <v>707</v>
      </c>
      <c r="AF42">
        <v>6</v>
      </c>
      <c r="AG42">
        <f>AVERAGE(AL3:AL5)</f>
        <v>0.75876250346177543</v>
      </c>
      <c r="AH42">
        <f>STDEV(AL3:AL5)</f>
        <v>0.2172016960061246</v>
      </c>
      <c r="AI42">
        <f>AH42/SQRT(3)</f>
        <v>0.12540145765757932</v>
      </c>
      <c r="AJ42">
        <f>AVERAGE(AL6:AL8)</f>
        <v>0.91968714831123821</v>
      </c>
      <c r="AK42">
        <f>STDEV(AL6:AL8)</f>
        <v>6.6472303530156637E-2</v>
      </c>
      <c r="AL42">
        <f>AK42/SQRT(3)</f>
        <v>3.8377802336790445E-2</v>
      </c>
      <c r="AM42">
        <v>6</v>
      </c>
      <c r="AN42">
        <f>AVERAGE(AV3:AV5)</f>
        <v>272.04694412770129</v>
      </c>
      <c r="AO42">
        <f>STDEV(AV3:AV5)</f>
        <v>424.02718881868145</v>
      </c>
      <c r="AP42">
        <f>AO42/SQRT(3)</f>
        <v>244.81221160818603</v>
      </c>
      <c r="AQ42">
        <f>AVERAGE(AV6:AV8)</f>
        <v>246.91535706461408</v>
      </c>
      <c r="AR42">
        <f>STDEV(AV6:AV8)</f>
        <v>307.59798562527209</v>
      </c>
      <c r="AS42">
        <f>AR42/SQRT(3)</f>
        <v>177.59177980293748</v>
      </c>
      <c r="AT42">
        <f t="shared" si="85"/>
        <v>89.988958484043451</v>
      </c>
      <c r="AU42">
        <f t="shared" si="86"/>
        <v>71.924153245949924</v>
      </c>
      <c r="AW42">
        <v>6</v>
      </c>
      <c r="AX42">
        <f>AVERAGE(BF3:BF5)</f>
        <v>2429.1852739000674</v>
      </c>
      <c r="AY42">
        <f>STDEV(BF3:BF5)</f>
        <v>3888.375495684355</v>
      </c>
      <c r="AZ42">
        <f>AY42/SQRT(3)</f>
        <v>2244.954639143707</v>
      </c>
      <c r="BA42">
        <f>AVERAGE(BF6:BF8)</f>
        <v>2789.5565804339717</v>
      </c>
      <c r="BB42">
        <f>STDEV(BF6:BF8)</f>
        <v>3762.8967050544388</v>
      </c>
      <c r="BC42">
        <f>BB42/SQRT(3)</f>
        <v>2172.5094255959361</v>
      </c>
      <c r="BD42">
        <f>AZ42/AX42*100</f>
        <v>92.415949629870042</v>
      </c>
      <c r="BE42">
        <f>BC42/BA42*100</f>
        <v>77.880098967483875</v>
      </c>
      <c r="BG42">
        <v>24</v>
      </c>
      <c r="BH42">
        <f>AVERAGE(BO15:BO17)</f>
        <v>79.227891753676971</v>
      </c>
      <c r="BI42">
        <f>STDEV(BO15:BO17)</f>
        <v>81.241081506018162</v>
      </c>
      <c r="BJ42">
        <f t="shared" si="133"/>
        <v>46.904560276755916</v>
      </c>
      <c r="BK42">
        <f>AVERAGE(BO18:BO20)</f>
        <v>102.91777052248845</v>
      </c>
      <c r="BL42">
        <f>STDEV(BO18:BO20)</f>
        <v>41.292663583892342</v>
      </c>
      <c r="BM42">
        <f t="shared" si="134"/>
        <v>23.840330435716901</v>
      </c>
      <c r="BN42">
        <f t="shared" si="93"/>
        <v>59.202080528135561</v>
      </c>
      <c r="BO42">
        <f t="shared" si="94"/>
        <v>23.164445085319425</v>
      </c>
      <c r="BQ42">
        <v>24</v>
      </c>
      <c r="BR42">
        <f>AVERAGE(BY15:BY17)</f>
        <v>3.6083899169313205</v>
      </c>
      <c r="BS42">
        <f>STDEV(BY15:BY17)</f>
        <v>3.9700571937047808</v>
      </c>
      <c r="BT42">
        <f t="shared" si="135"/>
        <v>2.2921135894836655</v>
      </c>
      <c r="BU42">
        <f>AVERAGE(BY18:BY20)</f>
        <v>4.5301852805092535</v>
      </c>
      <c r="BV42">
        <f>STDEV(BY18:BY20)</f>
        <v>1.8406890350718135</v>
      </c>
      <c r="BW42">
        <f t="shared" si="136"/>
        <v>1.062722309893104</v>
      </c>
      <c r="BX42">
        <f t="shared" si="97"/>
        <v>63.521782353081882</v>
      </c>
      <c r="BY42">
        <f t="shared" si="98"/>
        <v>23.458694161260439</v>
      </c>
      <c r="BZ42">
        <v>23.7</v>
      </c>
      <c r="CA42">
        <v>24</v>
      </c>
      <c r="CB42">
        <f>AVERAGE(CI15:CI17)</f>
        <v>0.14870454030762173</v>
      </c>
      <c r="CC42">
        <f>STDEV(CI15:CI17)</f>
        <v>0.11511710197818893</v>
      </c>
      <c r="CD42">
        <f t="shared" si="137"/>
        <v>6.6462889815436979E-2</v>
      </c>
      <c r="CE42">
        <f>AVERAGE(CI18:CI20)</f>
        <v>0.27958971022624307</v>
      </c>
      <c r="CF42">
        <f>STDEV(CI18:CI20)</f>
        <v>0.10560770822296672</v>
      </c>
      <c r="CG42">
        <f t="shared" si="138"/>
        <v>6.0972638771029299E-2</v>
      </c>
      <c r="CH42">
        <f t="shared" si="101"/>
        <v>44.694593505986226</v>
      </c>
      <c r="CI42">
        <f t="shared" si="102"/>
        <v>21.807897980827136</v>
      </c>
      <c r="CK42">
        <v>24</v>
      </c>
      <c r="CL42">
        <f>AVERAGE(CS15:CS17)</f>
        <v>59.273355438198145</v>
      </c>
      <c r="CM42">
        <f>STDEV(CS15:CS17)</f>
        <v>24.341098768819151</v>
      </c>
      <c r="CN42">
        <f t="shared" si="139"/>
        <v>14.053339926549006</v>
      </c>
      <c r="CO42">
        <f>AVERAGE(CS18:CS20)</f>
        <v>108.69616334495312</v>
      </c>
      <c r="CP42">
        <f>STDEV(CS18:CS20)</f>
        <v>14.176662568737179</v>
      </c>
      <c r="CQ42">
        <f t="shared" si="140"/>
        <v>8.1848999502709017</v>
      </c>
      <c r="CR42">
        <f t="shared" si="141"/>
        <v>23.709371306306149</v>
      </c>
      <c r="CS42">
        <f t="shared" si="142"/>
        <v>7.5300725420231087</v>
      </c>
      <c r="CU42">
        <v>24</v>
      </c>
      <c r="CV42">
        <f>AVERAGE(DC15:DC17)</f>
        <v>25.540321243893896</v>
      </c>
      <c r="CW42">
        <f>STDEV(DC15:DC17)</f>
        <v>14.567024289499912</v>
      </c>
      <c r="CX42">
        <f t="shared" si="143"/>
        <v>8.4102753948345921</v>
      </c>
      <c r="CY42">
        <f>AVERAGE(DC18:DC20)</f>
        <v>45.185674065586788</v>
      </c>
      <c r="CZ42">
        <f>STDEV(DC18:DC20)</f>
        <v>9.4052764086566203</v>
      </c>
      <c r="DA42">
        <f t="shared" si="144"/>
        <v>5.4301388663407364</v>
      </c>
      <c r="DB42">
        <f t="shared" si="145"/>
        <v>32.929403332564952</v>
      </c>
      <c r="DC42">
        <f t="shared" si="146"/>
        <v>12.017390419934681</v>
      </c>
      <c r="DE42">
        <v>24</v>
      </c>
      <c r="DF42">
        <f>AVERAGE(DL15:DL17)</f>
        <v>502.28256624104137</v>
      </c>
      <c r="DG42">
        <f>STDEV(DL15:DL17)</f>
        <v>243.05021235304511</v>
      </c>
      <c r="DH42">
        <f t="shared" si="147"/>
        <v>140.3251055286263</v>
      </c>
      <c r="DI42">
        <f>AVERAGE(DL18:DL20)</f>
        <v>337.59075009821532</v>
      </c>
      <c r="DJ42">
        <f>STDEV(DL18:DL20)</f>
        <v>20.318924993083133</v>
      </c>
      <c r="DK42">
        <f t="shared" si="148"/>
        <v>11.731136814400362</v>
      </c>
      <c r="DL42">
        <f t="shared" si="149"/>
        <v>27.937482795547673</v>
      </c>
      <c r="DM42">
        <f t="shared" si="150"/>
        <v>3.4749580108422462</v>
      </c>
      <c r="DO42">
        <v>12</v>
      </c>
      <c r="DP42">
        <f>AVERAGE(DW9:DW11)</f>
        <v>714.6236795649985</v>
      </c>
      <c r="DQ42">
        <f>STDEV(DW9:DW11)</f>
        <v>380.03575358609777</v>
      </c>
      <c r="DR42">
        <f t="shared" ref="DR42:DR44" si="162">DQ42/SQRT(3)</f>
        <v>219.41374463461585</v>
      </c>
      <c r="DS42">
        <f>AVERAGE(DW12:DW14)</f>
        <v>574.85476970740444</v>
      </c>
      <c r="DT42">
        <f>STDEV(DW12:DW14)</f>
        <v>233.42790404491856</v>
      </c>
      <c r="DU42">
        <f>DT42/SQRT(3)</f>
        <v>134.76966323670388</v>
      </c>
      <c r="DV42">
        <f t="shared" ref="DV42:DV44" si="163">DR42/DP42*100</f>
        <v>30.703396893897512</v>
      </c>
      <c r="DW42">
        <f t="shared" ref="DW42:DW44" si="164">DU42/DS42*100</f>
        <v>23.444123688023037</v>
      </c>
      <c r="DY42">
        <v>24</v>
      </c>
      <c r="DZ42">
        <f>AVERAGE(EG15:EG17)</f>
        <v>21.000248942448312</v>
      </c>
      <c r="EA42">
        <f>STDEV(EG15:EG17)</f>
        <v>15.804892458402941</v>
      </c>
      <c r="EB42">
        <f t="shared" si="151"/>
        <v>9.1249589153720247</v>
      </c>
      <c r="EC42">
        <f>AVERAGE(EG18:EG20)</f>
        <v>27.580500204024116</v>
      </c>
      <c r="ED42">
        <f>STDEV(EG18:EG20)</f>
        <v>9.8921878338897393</v>
      </c>
      <c r="EE42">
        <f t="shared" si="152"/>
        <v>5.7112573087705822</v>
      </c>
      <c r="EF42">
        <f t="shared" si="153"/>
        <v>43.451670217715964</v>
      </c>
      <c r="EG42">
        <f t="shared" si="154"/>
        <v>20.707591474128829</v>
      </c>
      <c r="EI42">
        <v>24</v>
      </c>
      <c r="EJ42">
        <f>AVERAGE(EQ15:EQ16)</f>
        <v>667.77644974983411</v>
      </c>
      <c r="EK42">
        <f>STDEV(EQ15:EQ16)</f>
        <v>503.77617600047461</v>
      </c>
      <c r="EL42">
        <f>EK42/SQRT(2)</f>
        <v>356.22355025016321</v>
      </c>
      <c r="EM42">
        <f>AVERAGE(EQ18:EQ20)</f>
        <v>1782.6158720844417</v>
      </c>
      <c r="EN42">
        <f>STDEV(EQ18:EQ20)</f>
        <v>1084.6610140790538</v>
      </c>
      <c r="EO42">
        <f t="shared" si="156"/>
        <v>626.22932845803416</v>
      </c>
      <c r="EP42">
        <f t="shared" si="157"/>
        <v>53.344730917601765</v>
      </c>
      <c r="EQ42">
        <f t="shared" si="158"/>
        <v>35.129796512233121</v>
      </c>
      <c r="ES42">
        <v>24</v>
      </c>
      <c r="ET42">
        <f>AVERAGE(FA15:FA17)</f>
        <v>332.39225400771397</v>
      </c>
      <c r="EU42">
        <f>STDEV(FA15:FA17)</f>
        <v>98.716969510070669</v>
      </c>
      <c r="EV42">
        <f t="shared" si="159"/>
        <v>56.994268920223384</v>
      </c>
      <c r="EW42">
        <f>AVERAGE(FA18:FA20)</f>
        <v>833.27163047898864</v>
      </c>
      <c r="EX42">
        <f>STDEV(FA18:FA20)</f>
        <v>376.87215737829644</v>
      </c>
      <c r="EY42">
        <f>EX42/SQRT(3)</f>
        <v>217.58724151243447</v>
      </c>
      <c r="EZ42">
        <f t="shared" si="160"/>
        <v>17.146689862062999</v>
      </c>
      <c r="FA42">
        <f t="shared" si="161"/>
        <v>26.11240243320885</v>
      </c>
      <c r="FG42" t="s">
        <v>633</v>
      </c>
      <c r="FH42">
        <v>6</v>
      </c>
      <c r="FI42">
        <v>12</v>
      </c>
      <c r="FJ42">
        <v>24</v>
      </c>
      <c r="FK42">
        <v>48</v>
      </c>
    </row>
    <row r="43" spans="1:174">
      <c r="AF43">
        <v>12</v>
      </c>
      <c r="AG43">
        <f>AVERAGE(AL9:AL11)</f>
        <v>0.84400331655810701</v>
      </c>
      <c r="AH43">
        <f>STDEV(AL9:AL11)</f>
        <v>5.8209334194327639E-2</v>
      </c>
      <c r="AI43">
        <f t="shared" ref="AI43:AI45" si="165">AH43/SQRT(3)</f>
        <v>3.3607174766443954E-2</v>
      </c>
      <c r="AJ43">
        <f>AVERAGE(AL12:AL14)</f>
        <v>0.89973553651893823</v>
      </c>
      <c r="AK43">
        <f>STDEV(AL12:AL14)</f>
        <v>6.263053760923401E-2</v>
      </c>
      <c r="AL43">
        <f t="shared" ref="AL43:AL45" si="166">AK43/SQRT(3)</f>
        <v>3.6159757748182239E-2</v>
      </c>
      <c r="AM43">
        <v>12</v>
      </c>
      <c r="AN43">
        <f>AVERAGE(AV9:AV11)</f>
        <v>145.81589155583242</v>
      </c>
      <c r="AO43">
        <f>STDEV(AV9:AV11)</f>
        <v>79.136031849511312</v>
      </c>
      <c r="AP43">
        <f t="shared" ref="AP43:AP45" si="167">AO43/SQRT(3)</f>
        <v>45.689209290914157</v>
      </c>
      <c r="AQ43">
        <f>AVERAGE(AV12:AV14)</f>
        <v>171.52956484365711</v>
      </c>
      <c r="AR43">
        <f>STDEV(AV12:AV14)</f>
        <v>102.29314436325673</v>
      </c>
      <c r="AS43">
        <f t="shared" ref="AS43:AS45" si="168">AR43/SQRT(3)</f>
        <v>59.058974434379529</v>
      </c>
      <c r="AT43">
        <f t="shared" si="85"/>
        <v>31.333491023109723</v>
      </c>
      <c r="AU43">
        <f t="shared" si="86"/>
        <v>34.430784272209642</v>
      </c>
      <c r="AW43">
        <v>12</v>
      </c>
      <c r="AX43">
        <f>AVERAGE(BF9:BF11)</f>
        <v>1161.1600059452387</v>
      </c>
      <c r="AY43">
        <f>STDEV(BF9:BF11)</f>
        <v>743.97127662058961</v>
      </c>
      <c r="AZ43">
        <f t="shared" ref="AZ43:AZ45" si="169">AY43/SQRT(3)</f>
        <v>429.53201682624695</v>
      </c>
      <c r="BA43">
        <f>AVERAGE(BF12:BF14)</f>
        <v>1443.7780363788713</v>
      </c>
      <c r="BB43">
        <f>STDEV(BF12:BF14)</f>
        <v>1045.9931597910179</v>
      </c>
      <c r="BC43">
        <f t="shared" ref="BC43:BC45" si="170">BB43/SQRT(3)</f>
        <v>603.90443237585146</v>
      </c>
      <c r="BD43">
        <f t="shared" ref="BD43:BD45" si="171">AZ43/AX43*100</f>
        <v>36.991630320283704</v>
      </c>
      <c r="BE43">
        <f t="shared" ref="BE43:BE45" si="172">BC43/BA43*100</f>
        <v>41.828066168017045</v>
      </c>
      <c r="BG43">
        <v>48</v>
      </c>
      <c r="BH43">
        <f>AVERAGE(BO21:BO23)</f>
        <v>127.53078172160473</v>
      </c>
      <c r="BI43">
        <f>STDEV(BO21:BO23)</f>
        <v>30.293037898757795</v>
      </c>
      <c r="BJ43">
        <f t="shared" si="133"/>
        <v>17.489693585419349</v>
      </c>
      <c r="BK43">
        <f>AVERAGE(BO24:BO26)</f>
        <v>78.700241631427119</v>
      </c>
      <c r="BL43">
        <f>STDEV(BO24:BO26)</f>
        <v>33.644344581932231</v>
      </c>
      <c r="BM43">
        <f t="shared" si="134"/>
        <v>19.424571401087103</v>
      </c>
      <c r="BN43">
        <f t="shared" si="93"/>
        <v>13.714095804414297</v>
      </c>
      <c r="BO43">
        <f t="shared" si="94"/>
        <v>24.681717614104951</v>
      </c>
      <c r="BQ43">
        <v>48</v>
      </c>
      <c r="BR43">
        <f>AVERAGE(BY21:BY23)</f>
        <v>4.980821143504337</v>
      </c>
      <c r="BS43">
        <f>STDEV(BY21:BY23)</f>
        <v>0.91674221807026968</v>
      </c>
      <c r="BT43">
        <f t="shared" si="135"/>
        <v>0.52928136638036483</v>
      </c>
      <c r="BU43">
        <f>AVERAGE(BY24:BY26)</f>
        <v>3.9394346489804328</v>
      </c>
      <c r="BV43">
        <f>STDEV(BY24:BY26)</f>
        <v>1.4793635725707102</v>
      </c>
      <c r="BW43">
        <f t="shared" si="136"/>
        <v>0.85411095685302607</v>
      </c>
      <c r="BX43">
        <f t="shared" si="97"/>
        <v>10.626387720639581</v>
      </c>
      <c r="BY43">
        <f t="shared" si="98"/>
        <v>21.68105408409501</v>
      </c>
      <c r="BZ43">
        <v>29</v>
      </c>
      <c r="CA43">
        <v>48</v>
      </c>
      <c r="CB43">
        <f>AVERAGE(CI21:CI23)</f>
        <v>0.28827325616632232</v>
      </c>
      <c r="CC43">
        <f>STDEV(CI21:CI23)</f>
        <v>8.5925647603822194E-2</v>
      </c>
      <c r="CD43">
        <f t="shared" si="137"/>
        <v>4.9609195774359668E-2</v>
      </c>
      <c r="CE43">
        <f>AVERAGE(CI24:CI26)</f>
        <v>0.14762707089020577</v>
      </c>
      <c r="CF43">
        <f>STDEV(CI24:CI26)</f>
        <v>6.9204276411444374E-2</v>
      </c>
      <c r="CG43">
        <f t="shared" si="138"/>
        <v>3.9955107615220677E-2</v>
      </c>
      <c r="CH43">
        <f t="shared" si="101"/>
        <v>17.209087112034116</v>
      </c>
      <c r="CI43">
        <f t="shared" si="102"/>
        <v>27.064892214068493</v>
      </c>
      <c r="CJ43">
        <f>AVERAGE(CH40:CI43)</f>
        <v>24.407788389377231</v>
      </c>
      <c r="CK43">
        <v>48</v>
      </c>
      <c r="CL43">
        <f>AVERAGE(CS21:CS23)</f>
        <v>184.17489445789957</v>
      </c>
      <c r="CM43">
        <f>STDEV(CS21:CS23)</f>
        <v>71.564852117886289</v>
      </c>
      <c r="CN43">
        <f t="shared" si="139"/>
        <v>41.317986634777412</v>
      </c>
      <c r="CO43">
        <f>AVERAGE(CS24:CS26)</f>
        <v>67.747474001270632</v>
      </c>
      <c r="CP43">
        <f>STDEV(CS24:CS26)</f>
        <v>19.723389439769868</v>
      </c>
      <c r="CQ43">
        <f t="shared" si="140"/>
        <v>11.387304202382955</v>
      </c>
      <c r="CR43">
        <f t="shared" si="141"/>
        <v>22.434103603747289</v>
      </c>
      <c r="CS43">
        <f t="shared" si="142"/>
        <v>16.80845576939058</v>
      </c>
      <c r="CU43">
        <v>48</v>
      </c>
      <c r="CV43">
        <f>AVERAGE(DC21:DC23)</f>
        <v>96.280383002377064</v>
      </c>
      <c r="CW43">
        <f>STDEV(DC21:DC23)</f>
        <v>37.808076238553639</v>
      </c>
      <c r="CX43">
        <f t="shared" si="143"/>
        <v>21.828502993870838</v>
      </c>
      <c r="CY43">
        <f>AVERAGE(DC24:DC26)</f>
        <v>21.219639601479397</v>
      </c>
      <c r="CZ43">
        <f>STDEV(DC24:DC26)</f>
        <v>4.126071399225502</v>
      </c>
      <c r="DA43">
        <f t="shared" si="144"/>
        <v>2.3821884330384595</v>
      </c>
      <c r="DB43">
        <f t="shared" si="145"/>
        <v>22.671807395419183</v>
      </c>
      <c r="DC43">
        <f t="shared" si="146"/>
        <v>11.226337853883143</v>
      </c>
      <c r="DE43">
        <v>48</v>
      </c>
      <c r="DF43">
        <f>AVERAGE(DL21:DL23)</f>
        <v>698.38620566929694</v>
      </c>
      <c r="DG43">
        <f>STDEV(DL21:DL23)</f>
        <v>282.81199039420949</v>
      </c>
      <c r="DH43">
        <f t="shared" si="147"/>
        <v>163.28157878415072</v>
      </c>
      <c r="DI43">
        <f>AVERAGE(DL24:DL25)</f>
        <v>283.73597756599679</v>
      </c>
      <c r="DJ43">
        <f>STDEV(DL24:DL25)</f>
        <v>75.573890596104249</v>
      </c>
      <c r="DK43">
        <f>DJ43/SQRT(2)</f>
        <v>53.438810521155567</v>
      </c>
      <c r="DL43">
        <f t="shared" si="149"/>
        <v>23.37984018852007</v>
      </c>
      <c r="DM43">
        <f t="shared" si="150"/>
        <v>18.833991719899441</v>
      </c>
      <c r="DO43">
        <v>24</v>
      </c>
      <c r="DP43">
        <f>AVERAGE(DW15:DW17)</f>
        <v>691.36990864474865</v>
      </c>
      <c r="DQ43">
        <f>STDEV(DW15:DW17)</f>
        <v>338.409694567771</v>
      </c>
      <c r="DR43">
        <f t="shared" si="162"/>
        <v>195.38092825508164</v>
      </c>
      <c r="DS43">
        <f>AVERAGE(DW18:DW20)</f>
        <v>740.85743760365403</v>
      </c>
      <c r="DT43">
        <f>STDEV(DW18:DW20)</f>
        <v>304.07030243430967</v>
      </c>
      <c r="DU43">
        <f>DT43/SQRT(3)</f>
        <v>175.5550709630196</v>
      </c>
      <c r="DV43">
        <f t="shared" si="163"/>
        <v>28.259969925227914</v>
      </c>
      <c r="DW43">
        <f t="shared" si="164"/>
        <v>23.696201462303272</v>
      </c>
      <c r="DY43">
        <v>48</v>
      </c>
      <c r="DZ43">
        <f>AVERAGE(EG21:EG23)</f>
        <v>44.862665045034738</v>
      </c>
      <c r="EA43">
        <f>STDEV(EG21:EG23)</f>
        <v>23.973158182513057</v>
      </c>
      <c r="EB43">
        <f t="shared" si="151"/>
        <v>13.840909329999393</v>
      </c>
      <c r="EC43">
        <f>AVERAGE(EG24:EG25)</f>
        <v>423.94222657256222</v>
      </c>
      <c r="ED43">
        <f>STDEV(EG24:EG25)</f>
        <v>497.95117915559996</v>
      </c>
      <c r="EE43">
        <f>ED43/SQRT(2)</f>
        <v>352.10465548076212</v>
      </c>
      <c r="EF43">
        <f t="shared" si="153"/>
        <v>30.851732317073445</v>
      </c>
      <c r="EG43">
        <f t="shared" si="154"/>
        <v>83.054867718041677</v>
      </c>
      <c r="EI43">
        <v>48</v>
      </c>
      <c r="EJ43">
        <f>AVERAGE(EQ21:EQ23)</f>
        <v>1166.1334868723852</v>
      </c>
      <c r="EK43">
        <f>STDEV(EQ21:EQ23)</f>
        <v>752.82051474417892</v>
      </c>
      <c r="EL43">
        <f t="shared" si="155"/>
        <v>434.64112683902437</v>
      </c>
      <c r="EM43">
        <f>AVERAGE(EQ24:EQ25)</f>
        <v>1598.9831713587364</v>
      </c>
      <c r="EN43">
        <f>STDEV(EQ24:EQ25)</f>
        <v>260.08007158852865</v>
      </c>
      <c r="EO43">
        <f>EN43/SQRT(2)</f>
        <v>183.90438227173132</v>
      </c>
      <c r="EP43">
        <f t="shared" si="157"/>
        <v>37.271987446715777</v>
      </c>
      <c r="EQ43">
        <f t="shared" si="158"/>
        <v>11.501333195111648</v>
      </c>
      <c r="ES43">
        <v>48</v>
      </c>
      <c r="ET43">
        <f>AVERAGE(FA21:FA23)</f>
        <v>469.08452350199622</v>
      </c>
      <c r="EU43">
        <f>STDEV(FA21:FA23)</f>
        <v>55.525135412432192</v>
      </c>
      <c r="EV43">
        <f t="shared" si="159"/>
        <v>32.057451877158151</v>
      </c>
      <c r="EW43">
        <f>AVERAGE(FA24:FA25)</f>
        <v>725.17070073870173</v>
      </c>
      <c r="EX43">
        <f>STDEV(FA24:FA25)</f>
        <v>599.9524371951652</v>
      </c>
      <c r="EY43">
        <f>EX43/SQRT(2)</f>
        <v>424.23043673009755</v>
      </c>
      <c r="EZ43">
        <f t="shared" si="160"/>
        <v>6.8340459492950476</v>
      </c>
      <c r="FA43">
        <f t="shared" si="161"/>
        <v>58.500769032443166</v>
      </c>
      <c r="FG43" s="7" t="s">
        <v>826</v>
      </c>
      <c r="FH43" t="s">
        <v>832</v>
      </c>
      <c r="FI43" t="s">
        <v>832</v>
      </c>
      <c r="FJ43" t="s">
        <v>272</v>
      </c>
      <c r="FK43" t="s">
        <v>832</v>
      </c>
    </row>
    <row r="44" spans="1:174">
      <c r="AF44">
        <v>24</v>
      </c>
      <c r="AG44">
        <f>AVERAGE(AL15:AL17)</f>
        <v>0.96799999999999997</v>
      </c>
      <c r="AH44">
        <f>STDEV(AL15:AL17)</f>
        <v>0</v>
      </c>
      <c r="AI44">
        <f t="shared" si="165"/>
        <v>0</v>
      </c>
      <c r="AJ44">
        <f>AVERAGE(AL18:AL20)</f>
        <v>0.87004588955848983</v>
      </c>
      <c r="AK44">
        <f>STDEV(AL18:AL20)</f>
        <v>8.6926133226729776E-2</v>
      </c>
      <c r="AL44">
        <f t="shared" si="166"/>
        <v>5.0186826418065711E-2</v>
      </c>
      <c r="AM44">
        <v>24</v>
      </c>
      <c r="AN44">
        <f>AVERAGE(AV15:AV17)</f>
        <v>280.72433562848079</v>
      </c>
      <c r="AO44">
        <f>STDEV(AV15:AV17)</f>
        <v>280.99191595355649</v>
      </c>
      <c r="AP44">
        <f t="shared" si="167"/>
        <v>162.23075831589455</v>
      </c>
      <c r="AQ44">
        <f>AVERAGE(AV18:AV20)</f>
        <v>197.63246033733878</v>
      </c>
      <c r="AR44">
        <f>STDEV(AV18:AV20)</f>
        <v>187.10520905599338</v>
      </c>
      <c r="AS44">
        <f t="shared" si="168"/>
        <v>108.02524281525899</v>
      </c>
      <c r="AT44">
        <f t="shared" si="85"/>
        <v>57.790058689673316</v>
      </c>
      <c r="AU44">
        <f t="shared" si="86"/>
        <v>54.6596660441664</v>
      </c>
      <c r="AW44">
        <v>24</v>
      </c>
      <c r="AX44">
        <f>AVERAGE(BF15:BF17)</f>
        <v>2429.5029907937501</v>
      </c>
      <c r="AY44">
        <f>STDEV(BF15:BF17)</f>
        <v>2585.05575525329</v>
      </c>
      <c r="AZ44">
        <f t="shared" si="169"/>
        <v>1492.4826361656785</v>
      </c>
      <c r="BA44">
        <f>AVERAGE(BF18:BF20)</f>
        <v>1737.1768603224573</v>
      </c>
      <c r="BB44">
        <f>STDEV(BF18:BF20)</f>
        <v>1961.0838858218649</v>
      </c>
      <c r="BC44">
        <f t="shared" si="170"/>
        <v>1132.232309382691</v>
      </c>
      <c r="BD44">
        <f t="shared" si="171"/>
        <v>61.431603164154367</v>
      </c>
      <c r="BE44">
        <f t="shared" si="172"/>
        <v>65.176570978070956</v>
      </c>
      <c r="BH44" t="s">
        <v>879</v>
      </c>
      <c r="BN44">
        <f>AVERAGE(BN40:BO43)</f>
        <v>30.126669973731488</v>
      </c>
      <c r="BR44" t="s">
        <v>879</v>
      </c>
      <c r="BX44">
        <f>AVERAGE(BX40:BY43)</f>
        <v>29.511587046096388</v>
      </c>
      <c r="CC44" t="s">
        <v>879</v>
      </c>
      <c r="CH44">
        <f>AVERAGE(CH40:CI43)</f>
        <v>24.407788389377231</v>
      </c>
      <c r="CM44" t="s">
        <v>879</v>
      </c>
      <c r="CR44">
        <f>AVERAGE(CR40:CS43)</f>
        <v>20.697138493707211</v>
      </c>
      <c r="CW44" t="s">
        <v>879</v>
      </c>
      <c r="DB44">
        <f>AVERAGE(DB40:DC43)</f>
        <v>19.489982205631023</v>
      </c>
      <c r="DG44" t="s">
        <v>894</v>
      </c>
      <c r="DL44">
        <f>AVERAGE(DL40:DM43)</f>
        <v>18.930085973036796</v>
      </c>
      <c r="DO44">
        <v>48</v>
      </c>
      <c r="DP44">
        <f>AVERAGE(DW21:DW23)</f>
        <v>1069.9212018878341</v>
      </c>
      <c r="DQ44">
        <f>STDEV(DW21:DW23)</f>
        <v>71.142722433808885</v>
      </c>
      <c r="DR44">
        <f t="shared" si="162"/>
        <v>41.074269948042392</v>
      </c>
      <c r="DS44">
        <f>AVERAGE(DW24:DW25)</f>
        <v>619.60552333843953</v>
      </c>
      <c r="DT44">
        <f>STDEV(DW24:DW25)</f>
        <v>327.50652160791896</v>
      </c>
      <c r="DU44">
        <f>DT44/SQRT(2)</f>
        <v>231.58208231177804</v>
      </c>
      <c r="DV44">
        <f t="shared" si="163"/>
        <v>3.8389995333832485</v>
      </c>
      <c r="DW44">
        <f t="shared" si="164"/>
        <v>37.375729167811791</v>
      </c>
      <c r="DZ44" t="s">
        <v>888</v>
      </c>
      <c r="EC44" t="s">
        <v>879</v>
      </c>
      <c r="EF44">
        <f>AVERAGE(EF40:EG43)</f>
        <v>38.53857933400127</v>
      </c>
      <c r="EG44">
        <f>STDEV(EF40:EG43)</f>
        <v>22.15994126059039</v>
      </c>
      <c r="EK44" t="s">
        <v>879</v>
      </c>
      <c r="EP44">
        <f>AVERAGE(EP40:EQ42)</f>
        <v>34.182043989282995</v>
      </c>
      <c r="ET44" t="s">
        <v>884</v>
      </c>
      <c r="EZ44">
        <f>AVERAGE(EZ40:FA43)</f>
        <v>26.124593511723795</v>
      </c>
      <c r="FA44">
        <f>STDEV(EZ40:FA43)</f>
        <v>17.537990193862036</v>
      </c>
      <c r="FG44" s="6" t="s">
        <v>635</v>
      </c>
      <c r="FH44" t="s">
        <v>827</v>
      </c>
      <c r="FI44" t="s">
        <v>832</v>
      </c>
      <c r="FJ44" t="s">
        <v>832</v>
      </c>
      <c r="FK44" t="s">
        <v>272</v>
      </c>
    </row>
    <row r="45" spans="1:174">
      <c r="AF45">
        <v>48</v>
      </c>
      <c r="AG45">
        <f>AVERAGE(AL21:AL23)</f>
        <v>0.92856755493384391</v>
      </c>
      <c r="AH45">
        <f>STDEV(AL21:AL23)</f>
        <v>4.2256580130474689E-2</v>
      </c>
      <c r="AI45">
        <f t="shared" si="165"/>
        <v>2.4396847913362555E-2</v>
      </c>
      <c r="AJ45">
        <f>AVERAGE(AL24:AL26)</f>
        <v>0.95414835185223446</v>
      </c>
      <c r="AK45">
        <f>STDEV(AL24:AL26)</f>
        <v>2.2719263053235631E-2</v>
      </c>
      <c r="AL45">
        <f t="shared" si="166"/>
        <v>1.3116972639575512E-2</v>
      </c>
      <c r="AM45">
        <v>48</v>
      </c>
      <c r="AN45">
        <f>AVERAGE(AV21:AV23)</f>
        <v>216.1640556628945</v>
      </c>
      <c r="AO45">
        <f>STDEV(AV21:AV23)</f>
        <v>175.68435692000975</v>
      </c>
      <c r="AP45">
        <f t="shared" si="167"/>
        <v>101.43141076017393</v>
      </c>
      <c r="AQ45">
        <f>AVERAGE(AV24:AV26)</f>
        <v>211.11854212264134</v>
      </c>
      <c r="AR45">
        <f>STDEV(AV24:AV26)</f>
        <v>149.55229138116854</v>
      </c>
      <c r="AS45">
        <f t="shared" si="168"/>
        <v>86.344055686843006</v>
      </c>
      <c r="AT45">
        <f t="shared" si="85"/>
        <v>46.923347384985739</v>
      </c>
      <c r="AU45">
        <f t="shared" si="86"/>
        <v>40.89837624811026</v>
      </c>
      <c r="AW45">
        <v>48</v>
      </c>
      <c r="AX45">
        <f>AVERAGE(BF21:BF23)</f>
        <v>2334.2488355114965</v>
      </c>
      <c r="AY45">
        <f>STDEV(BF21:BF23)</f>
        <v>1834.2133779661519</v>
      </c>
      <c r="AZ45">
        <f t="shared" si="169"/>
        <v>1058.9835875199706</v>
      </c>
      <c r="BA45">
        <f>AVERAGE(BF24:BF26)</f>
        <v>2008.8049692418845</v>
      </c>
      <c r="BB45">
        <f>STDEV(BF24:BF26)</f>
        <v>1350.5586031808755</v>
      </c>
      <c r="BC45">
        <f t="shared" si="170"/>
        <v>779.74537310284347</v>
      </c>
      <c r="BD45">
        <f t="shared" si="171"/>
        <v>45.367210702192288</v>
      </c>
      <c r="BE45">
        <f t="shared" si="172"/>
        <v>38.816380138541597</v>
      </c>
      <c r="BG45" t="s">
        <v>250</v>
      </c>
      <c r="BH45" s="7" t="s">
        <v>663</v>
      </c>
      <c r="BI45" s="7" t="s">
        <v>659</v>
      </c>
      <c r="BJ45" s="7" t="s">
        <v>660</v>
      </c>
      <c r="BK45" s="6" t="s">
        <v>664</v>
      </c>
      <c r="BL45" s="6" t="s">
        <v>661</v>
      </c>
      <c r="BM45" s="6" t="s">
        <v>662</v>
      </c>
      <c r="BN45" s="7" t="s">
        <v>854</v>
      </c>
      <c r="BO45" s="6" t="s">
        <v>882</v>
      </c>
      <c r="BQ45" t="s">
        <v>250</v>
      </c>
      <c r="BR45" s="7" t="s">
        <v>663</v>
      </c>
      <c r="BS45" s="7" t="s">
        <v>659</v>
      </c>
      <c r="BT45" s="7" t="s">
        <v>660</v>
      </c>
      <c r="BU45" s="6" t="s">
        <v>664</v>
      </c>
      <c r="BV45" s="6" t="s">
        <v>661</v>
      </c>
      <c r="BW45" s="6" t="s">
        <v>662</v>
      </c>
      <c r="BX45" s="7" t="s">
        <v>854</v>
      </c>
      <c r="BY45" s="6" t="s">
        <v>882</v>
      </c>
      <c r="CA45" t="s">
        <v>250</v>
      </c>
      <c r="CB45" s="7" t="s">
        <v>663</v>
      </c>
      <c r="CC45" s="7" t="s">
        <v>659</v>
      </c>
      <c r="CD45" s="7" t="s">
        <v>660</v>
      </c>
      <c r="CE45" s="6" t="s">
        <v>664</v>
      </c>
      <c r="CF45" s="6" t="s">
        <v>661</v>
      </c>
      <c r="CG45" s="6" t="s">
        <v>662</v>
      </c>
      <c r="CH45" s="7" t="s">
        <v>854</v>
      </c>
      <c r="CI45" s="6" t="s">
        <v>882</v>
      </c>
      <c r="CK45" t="s">
        <v>250</v>
      </c>
      <c r="CL45" s="7" t="s">
        <v>663</v>
      </c>
      <c r="CM45" s="7" t="s">
        <v>659</v>
      </c>
      <c r="CN45" s="7" t="s">
        <v>660</v>
      </c>
      <c r="CO45" s="6" t="s">
        <v>664</v>
      </c>
      <c r="CP45" s="6" t="s">
        <v>661</v>
      </c>
      <c r="CQ45" s="6" t="s">
        <v>662</v>
      </c>
      <c r="CR45" s="7" t="s">
        <v>854</v>
      </c>
      <c r="CS45" s="6" t="s">
        <v>882</v>
      </c>
      <c r="CU45" t="s">
        <v>250</v>
      </c>
      <c r="CV45" s="7" t="s">
        <v>663</v>
      </c>
      <c r="CW45" s="7" t="s">
        <v>659</v>
      </c>
      <c r="CX45" s="7" t="s">
        <v>660</v>
      </c>
      <c r="CY45" s="6" t="s">
        <v>664</v>
      </c>
      <c r="CZ45" s="6" t="s">
        <v>661</v>
      </c>
      <c r="DA45" s="6" t="s">
        <v>662</v>
      </c>
      <c r="DB45" s="7" t="s">
        <v>854</v>
      </c>
      <c r="DC45" s="6" t="s">
        <v>882</v>
      </c>
      <c r="DP45" t="s">
        <v>878</v>
      </c>
      <c r="DV45">
        <f>AVERAGE(DV41:DW44)</f>
        <v>21.878690799847579</v>
      </c>
      <c r="DW45">
        <f>STDEV(DV41:DW44)</f>
        <v>11.652465064009533</v>
      </c>
      <c r="DY45" t="s">
        <v>250</v>
      </c>
      <c r="DZ45" s="7" t="s">
        <v>663</v>
      </c>
      <c r="EA45" s="7" t="s">
        <v>659</v>
      </c>
      <c r="EB45" s="7" t="s">
        <v>660</v>
      </c>
      <c r="EC45" s="6" t="s">
        <v>664</v>
      </c>
      <c r="ED45" s="6" t="s">
        <v>661</v>
      </c>
      <c r="EE45" s="6" t="s">
        <v>662</v>
      </c>
      <c r="EF45" s="7" t="s">
        <v>887</v>
      </c>
      <c r="EG45" s="6" t="s">
        <v>882</v>
      </c>
      <c r="EI45" t="s">
        <v>250</v>
      </c>
      <c r="EJ45" s="7" t="s">
        <v>663</v>
      </c>
      <c r="EK45" s="7" t="s">
        <v>659</v>
      </c>
      <c r="EL45" s="7" t="s">
        <v>660</v>
      </c>
      <c r="EM45" s="6" t="s">
        <v>664</v>
      </c>
      <c r="EN45" s="6" t="s">
        <v>661</v>
      </c>
      <c r="EO45" s="6" t="s">
        <v>662</v>
      </c>
      <c r="EP45" s="7" t="s">
        <v>854</v>
      </c>
      <c r="EQ45" s="6" t="s">
        <v>882</v>
      </c>
      <c r="ET45" t="s">
        <v>885</v>
      </c>
    </row>
    <row r="46" spans="1:174">
      <c r="AO46" t="s">
        <v>879</v>
      </c>
      <c r="AT46">
        <f>AVERAGE(AT42:AU45)</f>
        <v>53.493604424031055</v>
      </c>
      <c r="AX46" t="s">
        <v>879</v>
      </c>
      <c r="BC46" t="s">
        <v>257</v>
      </c>
      <c r="BD46">
        <f>AVERAGE(BD42:BD45)</f>
        <v>59.051598454125106</v>
      </c>
      <c r="BE46">
        <f>AVERAGE(BE42:BE45)</f>
        <v>55.92527906302837</v>
      </c>
      <c r="BF46">
        <f>AVERAGE(BD42:BE45)</f>
        <v>57.488438758576734</v>
      </c>
      <c r="BG46">
        <v>6</v>
      </c>
      <c r="BH46">
        <f>AVERAGE(BN3:BN5)</f>
        <v>242.09826315944255</v>
      </c>
      <c r="BI46">
        <f>STDEV(BN3:BN5)</f>
        <v>235.18801465441655</v>
      </c>
      <c r="BJ46">
        <f>BI46/SQRT(3)</f>
        <v>135.78586357090106</v>
      </c>
      <c r="BK46">
        <f>AVERAGE(BN6:BN8)</f>
        <v>94.249147850821188</v>
      </c>
      <c r="BL46">
        <f>STDEV(BN6:BN8)</f>
        <v>25.004997915627946</v>
      </c>
      <c r="BM46">
        <f>BL46/SQRT(3)</f>
        <v>14.436642277673826</v>
      </c>
      <c r="BN46">
        <f>BJ46/BH46*100</f>
        <v>56.087087036008342</v>
      </c>
      <c r="BO46">
        <f>BM46/BK46*100</f>
        <v>15.317530828527318</v>
      </c>
      <c r="BQ46">
        <v>6</v>
      </c>
      <c r="BR46">
        <f>AVERAGE(BX3:BX5)</f>
        <v>7.5197972155500565</v>
      </c>
      <c r="BS46">
        <f>STDEV(BX3:BX5)</f>
        <v>7.0032297254738607</v>
      </c>
      <c r="BT46">
        <f>BS46/SQRT(3)</f>
        <v>4.0433165671991222</v>
      </c>
      <c r="BU46">
        <f>AVERAGE(BX6:BX8)</f>
        <v>3.4272596364049099</v>
      </c>
      <c r="BV46">
        <f>STDEV(BX6:BX8)</f>
        <v>0.55071123706623448</v>
      </c>
      <c r="BW46">
        <f>BV46/SQRT(3)</f>
        <v>0.31795328096594233</v>
      </c>
      <c r="BX46">
        <f>BT46/BR46*100</f>
        <v>53.768957477177956</v>
      </c>
      <c r="BY46">
        <f>BW46/BU46*100</f>
        <v>9.2771868693165462</v>
      </c>
      <c r="CA46">
        <v>6</v>
      </c>
      <c r="CB46">
        <f>AVERAGE(CH3:CH5)</f>
        <v>0.4061285608214657</v>
      </c>
      <c r="CC46">
        <f>STDEV(CH3:CH5)</f>
        <v>0.40582699379614068</v>
      </c>
      <c r="CD46">
        <f>CC46/SQRT(3)</f>
        <v>0.23430432411261842</v>
      </c>
      <c r="CE46">
        <f>AVERAGE(CH6:CH8)</f>
        <v>0.23275425123911897</v>
      </c>
      <c r="CF46">
        <f>STDEV(CH6:CH8)</f>
        <v>9.1745473575562939E-2</v>
      </c>
      <c r="CG46">
        <f>CF46/SQRT(3)</f>
        <v>5.2969273865780965E-2</v>
      </c>
      <c r="CH46">
        <f>CD46/CB46*100</f>
        <v>57.692156306046819</v>
      </c>
      <c r="CI46">
        <f>CG46/CE46*100</f>
        <v>22.757596728647176</v>
      </c>
      <c r="CK46">
        <v>6</v>
      </c>
      <c r="CL46">
        <f>AVERAGE(CR3:CR5)</f>
        <v>61.046328980736234</v>
      </c>
      <c r="CM46">
        <f>STDEV(CR3:CR5)</f>
        <v>26.663198883027679</v>
      </c>
      <c r="CN46">
        <f>CM46/SQRT(3)</f>
        <v>15.39400505257256</v>
      </c>
      <c r="CO46">
        <f>AVERAGE(CR6:CR8)</f>
        <v>107.03478595377317</v>
      </c>
      <c r="CP46">
        <f>STDEV(CR6:CR8)</f>
        <v>26.740091801201</v>
      </c>
      <c r="CQ46">
        <f>CP46/SQRT(3)</f>
        <v>15.438399199578702</v>
      </c>
      <c r="CR46">
        <f>CN46/CL46*100</f>
        <v>25.216921819214207</v>
      </c>
      <c r="CS46">
        <f>CQ46/CO46*100</f>
        <v>14.423721280898652</v>
      </c>
      <c r="CU46">
        <v>6</v>
      </c>
      <c r="CV46">
        <f>AVERAGE(DB3:DB5)</f>
        <v>15.359482006343384</v>
      </c>
      <c r="CW46">
        <f>STDEV(DB3:DB5)</f>
        <v>3.7668893616061259</v>
      </c>
      <c r="CX46">
        <f>CW46/SQRT(3)</f>
        <v>2.1748145869308346</v>
      </c>
      <c r="CY46">
        <f>AVERAGE(DB6:DB8)</f>
        <v>34.417644176692527</v>
      </c>
      <c r="CZ46">
        <f>STDEV(DB6:DB8)</f>
        <v>8.7511860033283959</v>
      </c>
      <c r="DA46">
        <f>CZ46/SQRT(3)</f>
        <v>5.0524995947501345</v>
      </c>
      <c r="DB46">
        <f>CX46/CV46*100</f>
        <v>14.159426639730741</v>
      </c>
      <c r="DC46">
        <f>DA46/CY46*100</f>
        <v>14.679969287879571</v>
      </c>
      <c r="DP46" t="s">
        <v>879</v>
      </c>
      <c r="DY46">
        <v>6</v>
      </c>
      <c r="DZ46">
        <f>AVERAGE(EF3:EF5)</f>
        <v>326.75404879168644</v>
      </c>
      <c r="EA46">
        <f>STDEV(EF3:EF5)</f>
        <v>123.69078398314294</v>
      </c>
      <c r="EB46">
        <f>EA46/SQRT(3)</f>
        <v>71.412907428943427</v>
      </c>
      <c r="EC46">
        <f>AVERAGE(EF6:EF8)</f>
        <v>276.11019208345988</v>
      </c>
      <c r="ED46">
        <f>STDEV(EF6:EF8)</f>
        <v>86.948561492753228</v>
      </c>
      <c r="EE46">
        <f>ED46/SQRT(3)</f>
        <v>50.199775383491811</v>
      </c>
      <c r="EF46">
        <f>EB46/DZ46*100</f>
        <v>21.855247912925137</v>
      </c>
      <c r="EG46">
        <f>EE46/EC46*100</f>
        <v>18.181065684209845</v>
      </c>
      <c r="EI46">
        <v>6</v>
      </c>
      <c r="EJ46">
        <f>AVERAGE(EP3:EP5)</f>
        <v>384.11485682028314</v>
      </c>
      <c r="EK46">
        <f>STDEV(EP3:EP5)</f>
        <v>224.81809828875103</v>
      </c>
      <c r="EL46">
        <f>EK46/SQRT(3)</f>
        <v>129.79878956571017</v>
      </c>
      <c r="EM46">
        <f>AVERAGE(EP6:EP8)</f>
        <v>432.40735014809405</v>
      </c>
      <c r="EN46">
        <f>STDEV(EP6:EP8)</f>
        <v>168.99733707168576</v>
      </c>
      <c r="EO46">
        <f>EN46/SQRT(3)</f>
        <v>97.570658050667703</v>
      </c>
      <c r="EP46">
        <f>EL46/EJ46*100</f>
        <v>33.79166081733711</v>
      </c>
      <c r="EQ46">
        <f>EO46/EM46*100</f>
        <v>22.564523479365228</v>
      </c>
      <c r="ES46" t="s">
        <v>250</v>
      </c>
      <c r="ET46" s="7" t="s">
        <v>663</v>
      </c>
      <c r="EU46" s="7" t="s">
        <v>659</v>
      </c>
      <c r="EV46" s="7" t="s">
        <v>660</v>
      </c>
      <c r="EW46" s="6" t="s">
        <v>664</v>
      </c>
      <c r="EX46" s="6" t="s">
        <v>661</v>
      </c>
      <c r="EY46" s="6" t="s">
        <v>662</v>
      </c>
      <c r="EZ46" s="7" t="s">
        <v>881</v>
      </c>
      <c r="FA46" s="6" t="s">
        <v>882</v>
      </c>
      <c r="FG46" t="s">
        <v>837</v>
      </c>
      <c r="FO46" t="s">
        <v>838</v>
      </c>
    </row>
    <row r="47" spans="1:174">
      <c r="AM47" t="s">
        <v>250</v>
      </c>
      <c r="AN47" t="s">
        <v>663</v>
      </c>
      <c r="AO47" t="s">
        <v>659</v>
      </c>
      <c r="AP47" t="s">
        <v>660</v>
      </c>
      <c r="AQ47" t="s">
        <v>664</v>
      </c>
      <c r="AR47" t="s">
        <v>661</v>
      </c>
      <c r="AS47" t="s">
        <v>662</v>
      </c>
      <c r="AT47" t="s">
        <v>854</v>
      </c>
      <c r="AU47" t="s">
        <v>882</v>
      </c>
      <c r="AW47" t="s">
        <v>250</v>
      </c>
      <c r="AX47" t="s">
        <v>663</v>
      </c>
      <c r="AY47" t="s">
        <v>659</v>
      </c>
      <c r="AZ47" t="s">
        <v>660</v>
      </c>
      <c r="BA47" t="s">
        <v>664</v>
      </c>
      <c r="BB47" t="s">
        <v>661</v>
      </c>
      <c r="BC47" t="s">
        <v>662</v>
      </c>
      <c r="BD47" t="s">
        <v>848</v>
      </c>
      <c r="BE47" t="s">
        <v>849</v>
      </c>
      <c r="BG47">
        <v>12</v>
      </c>
      <c r="BH47">
        <f>AVERAGE(BN9:BN11)</f>
        <v>241.92922014558576</v>
      </c>
      <c r="BI47">
        <f>STDEV(BN9:BN11)</f>
        <v>93.539669728808676</v>
      </c>
      <c r="BJ47">
        <f t="shared" ref="BJ47:BJ49" si="173">BI47/SQRT(3)</f>
        <v>54.005153497836382</v>
      </c>
      <c r="BK47">
        <f>AVERAGE(BN12:BN14)</f>
        <v>668.53120024812699</v>
      </c>
      <c r="BL47">
        <f>STDEV(BN12:BN14)</f>
        <v>542.50862582156742</v>
      </c>
      <c r="BM47">
        <f t="shared" ref="BM47:BM49" si="174">BL47/SQRT(3)</f>
        <v>313.21750115577595</v>
      </c>
      <c r="BN47">
        <f t="shared" ref="BN47:BN49" si="175">BJ47/BH47*100</f>
        <v>22.322708048799438</v>
      </c>
      <c r="BO47">
        <f t="shared" ref="BO47:BO49" si="176">BM47/BK47*100</f>
        <v>46.851590627262347</v>
      </c>
      <c r="BQ47">
        <v>12</v>
      </c>
      <c r="BR47">
        <f>AVERAGE(BX9:BX11)</f>
        <v>7.8732149594122092</v>
      </c>
      <c r="BS47">
        <f>STDEV(BX9:BX11)</f>
        <v>1.7845067305908036</v>
      </c>
      <c r="BT47">
        <f t="shared" ref="BT47:BT49" si="177">BS47/SQRT(3)</f>
        <v>1.0302854412772995</v>
      </c>
      <c r="BU47">
        <f>AVERAGE(BX12:BX14)</f>
        <v>30.543062797743875</v>
      </c>
      <c r="BV47">
        <f>STDEV(BX12:BX14)</f>
        <v>29.541351741200813</v>
      </c>
      <c r="BW47">
        <f t="shared" ref="BW47:BW49" si="178">BV47/SQRT(3)</f>
        <v>17.055707380007711</v>
      </c>
      <c r="BX47">
        <f t="shared" ref="BX47:BX49" si="179">BT47/BR47*100</f>
        <v>13.085955947965347</v>
      </c>
      <c r="BY47">
        <f t="shared" ref="BY47:BY49" si="180">BW47/BU47*100</f>
        <v>55.841509716790959</v>
      </c>
      <c r="CA47">
        <v>12</v>
      </c>
      <c r="CB47">
        <f>AVERAGE(CH9:CH11)</f>
        <v>0.5354649230598677</v>
      </c>
      <c r="CC47">
        <f>STDEV(CH9:CH11)</f>
        <v>0.24121776924068852</v>
      </c>
      <c r="CD47">
        <f t="shared" ref="CD47:CD49" si="181">CC47/SQRT(3)</f>
        <v>0.13926714400443255</v>
      </c>
      <c r="CE47">
        <f>AVERAGE(CH12:CH14)</f>
        <v>1.4854793686914818</v>
      </c>
      <c r="CF47">
        <f>STDEV(CH12:CH14)</f>
        <v>1.0575862806258425</v>
      </c>
      <c r="CG47">
        <f t="shared" ref="CG47:CG49" si="182">CF47/SQRT(3)</f>
        <v>0.6105977238105853</v>
      </c>
      <c r="CH47">
        <f t="shared" ref="CH47:CH49" si="183">CD47/CB47*100</f>
        <v>26.008639970028767</v>
      </c>
      <c r="CI47">
        <f t="shared" ref="CI47:CI49" si="184">CG47/CE47*100</f>
        <v>41.104423035403329</v>
      </c>
      <c r="CK47">
        <v>12</v>
      </c>
      <c r="CL47">
        <f>AVERAGE(CR9:CR11)</f>
        <v>233.12779395615129</v>
      </c>
      <c r="CM47">
        <f>STDEV(CR9:CR11)</f>
        <v>118.44160626421598</v>
      </c>
      <c r="CN47">
        <f t="shared" ref="CN47:CN49" si="185">CM47/SQRT(3)</f>
        <v>68.38229325989677</v>
      </c>
      <c r="CO47">
        <f>AVERAGE(CR12:CR14)</f>
        <v>498.36306651409177</v>
      </c>
      <c r="CP47">
        <f>STDEV(CR12:CR14)</f>
        <v>268.27580836673769</v>
      </c>
      <c r="CQ47">
        <f t="shared" ref="CQ47:CQ49" si="186">CP47/SQRT(3)</f>
        <v>154.88911017760046</v>
      </c>
      <c r="CR47">
        <f t="shared" ref="CR47:CR49" si="187">CN47/CL47*100</f>
        <v>29.332535644702538</v>
      </c>
      <c r="CS47">
        <f t="shared" ref="CS47:CS49" si="188">CQ47/CO47*100</f>
        <v>31.079572421167935</v>
      </c>
      <c r="CU47">
        <v>12</v>
      </c>
      <c r="CV47">
        <f>AVERAGE(DB9:DB11)</f>
        <v>48.769901376229342</v>
      </c>
      <c r="CW47">
        <f>STDEV(DB9:DB11)</f>
        <v>16.6295751254758</v>
      </c>
      <c r="CX47">
        <f t="shared" ref="CX47:CX49" si="189">CW47/SQRT(3)</f>
        <v>9.6010896752025587</v>
      </c>
      <c r="CY47">
        <f>AVERAGE(DB12:DB14)</f>
        <v>227.56304597402948</v>
      </c>
      <c r="CZ47">
        <f>STDEV(DB12:DB14)</f>
        <v>88.351465495947465</v>
      </c>
      <c r="DA47">
        <f t="shared" ref="DA47:DA49" si="190">CZ47/SQRT(3)</f>
        <v>51.009742387383206</v>
      </c>
      <c r="DB47">
        <f t="shared" ref="DB47:DB49" si="191">CX47/CV47*100</f>
        <v>19.686506234934015</v>
      </c>
      <c r="DC47">
        <f t="shared" ref="DC47:DC49" si="192">DA47/CY47*100</f>
        <v>22.415652844269218</v>
      </c>
      <c r="DK47">
        <v>2578</v>
      </c>
      <c r="DM47">
        <v>717</v>
      </c>
      <c r="DO47" t="s">
        <v>250</v>
      </c>
      <c r="DP47" s="7" t="s">
        <v>663</v>
      </c>
      <c r="DQ47" s="7" t="s">
        <v>659</v>
      </c>
      <c r="DR47" s="7" t="s">
        <v>660</v>
      </c>
      <c r="DS47" s="6" t="s">
        <v>664</v>
      </c>
      <c r="DT47" s="6" t="s">
        <v>661</v>
      </c>
      <c r="DU47" s="6" t="s">
        <v>662</v>
      </c>
      <c r="DV47" s="6" t="s">
        <v>876</v>
      </c>
      <c r="DY47">
        <v>12</v>
      </c>
      <c r="DZ47">
        <f>AVERAGE(EF9:EF11)</f>
        <v>540.01441201987143</v>
      </c>
      <c r="EA47">
        <f>STDEV(EF9:EF11)</f>
        <v>333.40290645867287</v>
      </c>
      <c r="EB47">
        <f t="shared" ref="EB47:EB49" si="193">EA47/SQRT(3)</f>
        <v>192.49025779251841</v>
      </c>
      <c r="EC47">
        <f>AVERAGE(EF12:EF14)</f>
        <v>220.11860913435012</v>
      </c>
      <c r="ED47">
        <f>STDEV(EF12:EF14)</f>
        <v>54.959946700381359</v>
      </c>
      <c r="EE47">
        <f t="shared" ref="EE47:EE48" si="194">ED47/SQRT(3)</f>
        <v>31.731140022112662</v>
      </c>
      <c r="EF47">
        <f t="shared" ref="EF47:EF49" si="195">EB47/DZ47*100</f>
        <v>35.64539269841471</v>
      </c>
      <c r="EG47">
        <f t="shared" ref="EG47:EG49" si="196">EE47/EC47*100</f>
        <v>14.415473615293223</v>
      </c>
      <c r="EI47">
        <v>12</v>
      </c>
      <c r="EJ47">
        <f>AVERAGE(EP9:EP11)</f>
        <v>541.82949800969584</v>
      </c>
      <c r="EK47">
        <f>STDEV(EP9:EP11)</f>
        <v>191.75654515771714</v>
      </c>
      <c r="EL47">
        <f t="shared" ref="EL47:EL49" si="197">EK47/SQRT(3)</f>
        <v>110.71069296568062</v>
      </c>
      <c r="EM47">
        <f>AVERAGE(EP12:EP14)</f>
        <v>508.50059560052938</v>
      </c>
      <c r="EN47">
        <f>STDEV(EP12:EP14)</f>
        <v>397.58230519214902</v>
      </c>
      <c r="EO47">
        <f t="shared" ref="EO47:EO48" si="198">EN47/SQRT(3)</f>
        <v>229.54425092771919</v>
      </c>
      <c r="EP47">
        <f t="shared" ref="EP47:EP49" si="199">EL47/EJ47*100</f>
        <v>20.432754837518925</v>
      </c>
      <c r="EQ47">
        <f t="shared" ref="EQ47:EQ49" si="200">EO47/EM47*100</f>
        <v>45.141392736547701</v>
      </c>
      <c r="ES47">
        <v>6</v>
      </c>
      <c r="ET47">
        <f>AVERAGE(EZ3:EZ5)</f>
        <v>310.07065032925175</v>
      </c>
      <c r="EU47">
        <f>STDEV(EZ3:EZ5)</f>
        <v>196.58638667518457</v>
      </c>
      <c r="EV47">
        <f>EU47/SQRT(3)</f>
        <v>113.49920326593367</v>
      </c>
      <c r="EW47">
        <f>AVERAGE(EZ6:EZ8)</f>
        <v>555.94041986763352</v>
      </c>
      <c r="EX47">
        <f>STDEV(EZ6:EZ8)</f>
        <v>79.163980143927787</v>
      </c>
      <c r="EY47">
        <f>EX47/SQRT(3)</f>
        <v>45.705345246218897</v>
      </c>
      <c r="EZ47">
        <f>EV47/ET47*100</f>
        <v>36.604303936994157</v>
      </c>
      <c r="FA47">
        <f>EY47/EW47*100</f>
        <v>8.2212668143649452</v>
      </c>
      <c r="FO47" t="s">
        <v>839</v>
      </c>
    </row>
    <row r="48" spans="1:174">
      <c r="AM48">
        <v>6</v>
      </c>
      <c r="AN48">
        <f>AVERAGE(AT3:AT5)</f>
        <v>20.641678718584618</v>
      </c>
      <c r="AO48">
        <f>STDEV(AT3:AT5)</f>
        <v>24.10520739652322</v>
      </c>
      <c r="AP48">
        <f>AO48/SQRT(3)</f>
        <v>13.917147979254439</v>
      </c>
      <c r="AQ48">
        <f>AVERAGE(AT6:AT8)</f>
        <v>8.9920981648220444</v>
      </c>
      <c r="AR48">
        <f>STDEV(AT6:AT8)</f>
        <v>5.1398279312526585</v>
      </c>
      <c r="AS48">
        <f>AR48/SQRT(3)</f>
        <v>2.9674810396970797</v>
      </c>
      <c r="AT48">
        <f>AP48/AN48*100</f>
        <v>67.422558838318778</v>
      </c>
      <c r="AU48">
        <f>AS48/AQ48*100</f>
        <v>33.000985813368359</v>
      </c>
      <c r="AW48">
        <v>6</v>
      </c>
      <c r="AX48">
        <f>AVERAGE(BD3:BD5)</f>
        <v>130.34165873708915</v>
      </c>
      <c r="AY48">
        <f>STDEV(BD3:BD5)</f>
        <v>125.51102873294171</v>
      </c>
      <c r="AZ48">
        <f>AY48/SQRT(3)</f>
        <v>72.463826225230761</v>
      </c>
      <c r="BA48">
        <f>AVERAGE(BD6:BD8)</f>
        <v>94.538091834760792</v>
      </c>
      <c r="BB48">
        <f>STDEV(BD6:BD8)</f>
        <v>70.823003899172519</v>
      </c>
      <c r="BC48">
        <f>BB48/SQRT(3)</f>
        <v>40.889680366005173</v>
      </c>
      <c r="BD48">
        <f>AZ48/AX48*100</f>
        <v>55.595292347319912</v>
      </c>
      <c r="BE48">
        <f>BC48/BA48*100</f>
        <v>43.252068634381317</v>
      </c>
      <c r="BG48">
        <v>24</v>
      </c>
      <c r="BH48">
        <f>AVERAGE(BN15:BN17)</f>
        <v>1212.179172766897</v>
      </c>
      <c r="BI48">
        <f>STDEV(BN15:BN17)</f>
        <v>753.30282699471695</v>
      </c>
      <c r="BJ48">
        <f t="shared" si="173"/>
        <v>434.91958994670597</v>
      </c>
      <c r="BK48">
        <f>AVERAGE(BN18:BN20)</f>
        <v>716.78400586215764</v>
      </c>
      <c r="BL48">
        <f>STDEV(BN18:BN20)</f>
        <v>271.33428326144622</v>
      </c>
      <c r="BM48">
        <f t="shared" si="174"/>
        <v>156.65492148137014</v>
      </c>
      <c r="BN48">
        <f t="shared" si="175"/>
        <v>35.879150518150453</v>
      </c>
      <c r="BO48">
        <f t="shared" si="176"/>
        <v>21.855247912925098</v>
      </c>
      <c r="BQ48">
        <v>24</v>
      </c>
      <c r="BR48">
        <f>AVERAGE(BX15:BX17)</f>
        <v>52.822021740514153</v>
      </c>
      <c r="BS48">
        <f>STDEV(BX15:BX17)</f>
        <v>33.007286298763056</v>
      </c>
      <c r="BT48">
        <f t="shared" si="177"/>
        <v>19.056765629809899</v>
      </c>
      <c r="BU48">
        <f>AVERAGE(BX18:BX20)</f>
        <v>31.636359031613537</v>
      </c>
      <c r="BV48">
        <f>STDEV(BX18:BX20)</f>
        <v>12.64618144667406</v>
      </c>
      <c r="BW48">
        <f t="shared" si="178"/>
        <v>7.3012762624581198</v>
      </c>
      <c r="BX48">
        <f t="shared" si="179"/>
        <v>36.077312079089694</v>
      </c>
      <c r="BY48">
        <f t="shared" si="180"/>
        <v>23.078750165789021</v>
      </c>
      <c r="CA48">
        <v>24</v>
      </c>
      <c r="CB48">
        <f>AVERAGE(CH15:CH17)</f>
        <v>2.6287491263095868</v>
      </c>
      <c r="CC48">
        <f>STDEV(CH15:CH17)</f>
        <v>1.8329775737081342</v>
      </c>
      <c r="CD48">
        <f t="shared" si="181"/>
        <v>1.0582700955989384</v>
      </c>
      <c r="CE48">
        <f>AVERAGE(CH18:CH20)</f>
        <v>1.9475089127060154</v>
      </c>
      <c r="CF48">
        <f>STDEV(CH18:CH20)</f>
        <v>0.68828900027720641</v>
      </c>
      <c r="CG48">
        <f t="shared" si="182"/>
        <v>0.39738383959030354</v>
      </c>
      <c r="CH48">
        <f t="shared" si="183"/>
        <v>40.25755386877136</v>
      </c>
      <c r="CI48">
        <f t="shared" si="184"/>
        <v>20.404725082266687</v>
      </c>
      <c r="CK48">
        <v>24</v>
      </c>
      <c r="CL48">
        <f>AVERAGE(CR15:CR17)</f>
        <v>1152.9404247876873</v>
      </c>
      <c r="CM48">
        <f>STDEV(CR15:CR17)</f>
        <v>855.62099921236768</v>
      </c>
      <c r="CN48">
        <f t="shared" si="185"/>
        <v>493.9930142195571</v>
      </c>
      <c r="CO48">
        <f>AVERAGE(CR18:CR20)</f>
        <v>760.48875232874536</v>
      </c>
      <c r="CP48">
        <f>STDEV(CR18:CR20)</f>
        <v>87.937381499050602</v>
      </c>
      <c r="CQ48">
        <f t="shared" si="186"/>
        <v>50.770670880307684</v>
      </c>
      <c r="CR48">
        <f t="shared" si="187"/>
        <v>42.846360800517971</v>
      </c>
      <c r="CS48">
        <f t="shared" si="188"/>
        <v>6.676058090910522</v>
      </c>
      <c r="CU48">
        <v>24</v>
      </c>
      <c r="CV48">
        <f>AVERAGE(DB15:DB17)</f>
        <v>401.99410272655854</v>
      </c>
      <c r="CW48">
        <f>STDEV(DB15:DB17)</f>
        <v>164.17242251212161</v>
      </c>
      <c r="CX48">
        <f t="shared" si="189"/>
        <v>94.784992330886396</v>
      </c>
      <c r="CY48">
        <f>AVERAGE(DB18:DB20)</f>
        <v>315.49009880800645</v>
      </c>
      <c r="CZ48">
        <f>STDEV(DB18:DB20)</f>
        <v>56.947148618824826</v>
      </c>
      <c r="DA48">
        <f t="shared" si="190"/>
        <v>32.878451584660141</v>
      </c>
      <c r="DB48">
        <f t="shared" si="191"/>
        <v>23.578702196872857</v>
      </c>
      <c r="DC48">
        <f t="shared" si="192"/>
        <v>10.42138935861456</v>
      </c>
      <c r="DL48">
        <v>1632</v>
      </c>
      <c r="DM48">
        <v>574</v>
      </c>
      <c r="DO48">
        <v>6</v>
      </c>
      <c r="DP48">
        <f>AVERAGE(DV3:DV5)</f>
        <v>362.3866888316557</v>
      </c>
      <c r="DQ48">
        <f>STDEV(DV3:DV5)</f>
        <v>131.46411462471187</v>
      </c>
      <c r="DR48">
        <f>DQ48/SQRT(3)</f>
        <v>75.900841967353216</v>
      </c>
      <c r="DS48">
        <f>AVERAGE(DV6:DV8)</f>
        <v>488.0612997363566</v>
      </c>
      <c r="DT48">
        <f>STDEV(DV6:DV8)</f>
        <v>101.10533584694763</v>
      </c>
      <c r="DU48">
        <f>DT48/SQRT(3)</f>
        <v>58.373192867742738</v>
      </c>
      <c r="DV48">
        <f>DR48/DP48*100</f>
        <v>20.944710251929934</v>
      </c>
      <c r="DW48">
        <f>DU48/DS48*100</f>
        <v>11.960217476631534</v>
      </c>
      <c r="DY48">
        <v>24</v>
      </c>
      <c r="DZ48">
        <f>AVERAGE(EF15:EF17)</f>
        <v>250.80511657631129</v>
      </c>
      <c r="EA48">
        <f>STDEV(EF15:EF17)</f>
        <v>62.851078500376182</v>
      </c>
      <c r="EB48">
        <f t="shared" si="193"/>
        <v>36.287087091050495</v>
      </c>
      <c r="EC48">
        <f>AVERAGE(EF18:EF20)</f>
        <v>194.45765893664657</v>
      </c>
      <c r="ED48">
        <f>STDEV(EF18:EF20)</f>
        <v>73.356241270282283</v>
      </c>
      <c r="EE48">
        <f t="shared" si="194"/>
        <v>42.352245644136616</v>
      </c>
      <c r="EF48">
        <f t="shared" si="195"/>
        <v>14.46824035585797</v>
      </c>
      <c r="EG48">
        <f t="shared" si="196"/>
        <v>21.779674750653452</v>
      </c>
      <c r="EI48">
        <v>24</v>
      </c>
      <c r="EJ48">
        <f>AVERAGE(EP15:EP16)</f>
        <v>279.36539471493023</v>
      </c>
      <c r="EK48">
        <f>STDEV(EP15:EP16)</f>
        <v>234.10807233592158</v>
      </c>
      <c r="EL48">
        <f>EK48/SQRT(2)</f>
        <v>165.53940547924094</v>
      </c>
      <c r="EM48">
        <f>AVERAGE(EP18:EP20)</f>
        <v>563.7746686109648</v>
      </c>
      <c r="EN48">
        <f>STDEV(EP18:EP20)</f>
        <v>312.56777164760297</v>
      </c>
      <c r="EO48">
        <f t="shared" si="198"/>
        <v>180.46108710074506</v>
      </c>
      <c r="EP48">
        <f t="shared" si="199"/>
        <v>59.255515754970475</v>
      </c>
      <c r="EQ48">
        <f t="shared" si="200"/>
        <v>32.009435178307569</v>
      </c>
      <c r="ES48">
        <v>12</v>
      </c>
      <c r="ET48">
        <f>AVERAGE(EZ9:EZ11)</f>
        <v>321.93094801801703</v>
      </c>
      <c r="EU48">
        <f>STDEV(EZ9:EZ11)</f>
        <v>185.57136748449233</v>
      </c>
      <c r="EV48">
        <f t="shared" ref="EV48:EV50" si="201">EU48/SQRT(3)</f>
        <v>107.13967897105861</v>
      </c>
      <c r="EW48">
        <f>AVERAGE(EZ12:EZ14)</f>
        <v>206.58182773279557</v>
      </c>
      <c r="EX48">
        <f>STDEV(EZ12:EZ14)</f>
        <v>101.08194860851928</v>
      </c>
      <c r="EY48">
        <f t="shared" ref="EY48:EY49" si="202">EX48/SQRT(3)</f>
        <v>58.35969023934053</v>
      </c>
      <c r="EZ48">
        <f t="shared" ref="EZ48:EZ50" si="203">EV48/ET48*100</f>
        <v>33.280329098730355</v>
      </c>
      <c r="FA48">
        <f t="shared" ref="FA48:FA50" si="204">EY48/EW48*100</f>
        <v>28.250156792506552</v>
      </c>
    </row>
    <row r="49" spans="39:157">
      <c r="AM49">
        <v>12</v>
      </c>
      <c r="AN49">
        <f>AVERAGE(AT9:AT11)</f>
        <v>31.576727227170206</v>
      </c>
      <c r="AO49">
        <f>STDEV(AT9:AT11)</f>
        <v>8.4956637290165862</v>
      </c>
      <c r="AP49">
        <f t="shared" ref="AP49:AP51" si="205">AO49/SQRT(3)</f>
        <v>4.9049737408922658</v>
      </c>
      <c r="AQ49">
        <f>AVERAGE(AT12:AT14)</f>
        <v>84.049349143186404</v>
      </c>
      <c r="AR49">
        <f>STDEV(AT12:AT14)</f>
        <v>71.663342255999325</v>
      </c>
      <c r="AS49">
        <f t="shared" ref="AS49:AS51" si="206">AR49/SQRT(3)</f>
        <v>41.374849942529494</v>
      </c>
      <c r="AT49">
        <f t="shared" ref="AT49:AT51" si="207">AP49/AN49*100</f>
        <v>15.533508921316516</v>
      </c>
      <c r="AU49">
        <f t="shared" ref="AU49:AU51" si="208">AS49/AQ49*100</f>
        <v>49.226853466816657</v>
      </c>
      <c r="AW49">
        <v>12</v>
      </c>
      <c r="AX49">
        <f>AVERAGE(BD9:BD11)</f>
        <v>249.52141428240949</v>
      </c>
      <c r="AY49">
        <f>STDEV(BD9:BD11)</f>
        <v>101.07515977358545</v>
      </c>
      <c r="AZ49">
        <f t="shared" ref="AZ49:AZ51" si="209">AY49/SQRT(3)</f>
        <v>58.355770703664</v>
      </c>
      <c r="BA49">
        <f>AVERAGE(BD12:BD14)</f>
        <v>672.30879294288377</v>
      </c>
      <c r="BB49">
        <f>STDEV(BD12:BD14)</f>
        <v>567.91219679978781</v>
      </c>
      <c r="BC49">
        <f t="shared" ref="BC49:BC51" si="210">BB49/SQRT(3)</f>
        <v>327.88425969842922</v>
      </c>
      <c r="BD49">
        <f t="shared" ref="BD49:BD51" si="211">AZ49/AX49*100</f>
        <v>23.387079169732768</v>
      </c>
      <c r="BE49">
        <f t="shared" ref="BE49:BE51" si="212">BC49/BA49*100</f>
        <v>48.769890136820614</v>
      </c>
      <c r="BG49">
        <v>48</v>
      </c>
      <c r="BH49">
        <f>AVERAGE(BN21:BN23)</f>
        <v>606.17550549560804</v>
      </c>
      <c r="BI49">
        <f>STDEV(BN21:BN23)</f>
        <v>101.74672981840529</v>
      </c>
      <c r="BJ49">
        <f t="shared" si="173"/>
        <v>58.743501849820419</v>
      </c>
      <c r="BK49">
        <f>AVERAGE(BN24:BN26)</f>
        <v>58.719468302308165</v>
      </c>
      <c r="BL49">
        <f>STDEV(BN24:BN26)</f>
        <v>18.491071488450327</v>
      </c>
      <c r="BM49">
        <f t="shared" si="174"/>
        <v>10.675825101461411</v>
      </c>
      <c r="BN49">
        <f t="shared" si="175"/>
        <v>9.6908405762439767</v>
      </c>
      <c r="BO49">
        <f t="shared" si="176"/>
        <v>18.18106568420982</v>
      </c>
      <c r="BQ49">
        <v>48</v>
      </c>
      <c r="BR49">
        <f>AVERAGE(BX21:BX23)</f>
        <v>24.054816496046485</v>
      </c>
      <c r="BS49">
        <f>STDEV(BX21:BX23)</f>
        <v>5.5859427250575315</v>
      </c>
      <c r="BT49">
        <f t="shared" si="177"/>
        <v>3.2250455359897976</v>
      </c>
      <c r="BU49">
        <f>AVERAGE(BX24:BX26)</f>
        <v>3.0392062423694615</v>
      </c>
      <c r="BV49">
        <f>STDEV(BX24:BX26)</f>
        <v>1.1173399366809678</v>
      </c>
      <c r="BW49">
        <f t="shared" si="178"/>
        <v>0.64509651321907613</v>
      </c>
      <c r="BX49">
        <f t="shared" si="179"/>
        <v>13.407067713527759</v>
      </c>
      <c r="BY49">
        <f t="shared" si="180"/>
        <v>21.225822197447794</v>
      </c>
      <c r="CA49">
        <v>48</v>
      </c>
      <c r="CB49">
        <f>AVERAGE(CH21:CH23)</f>
        <v>1.3399627151495028</v>
      </c>
      <c r="CC49">
        <f>STDEV(CH21:CH23)</f>
        <v>9.7535403176209415E-2</v>
      </c>
      <c r="CD49">
        <f t="shared" si="181"/>
        <v>5.6312091279303186E-2</v>
      </c>
      <c r="CE49">
        <f>AVERAGE(CH24:CH26)</f>
        <v>0.14011620819788195</v>
      </c>
      <c r="CF49">
        <f>STDEV(CH24:CH26)</f>
        <v>9.5949616342391797E-2</v>
      </c>
      <c r="CG49">
        <f t="shared" si="182"/>
        <v>5.5396536823921226E-2</v>
      </c>
      <c r="CH49">
        <f t="shared" si="183"/>
        <v>4.2025118044437759</v>
      </c>
      <c r="CI49">
        <f t="shared" si="184"/>
        <v>39.536137564960612</v>
      </c>
      <c r="CK49">
        <v>48</v>
      </c>
      <c r="CL49">
        <f>AVERAGE(CR21:CR23)</f>
        <v>834.44545177678663</v>
      </c>
      <c r="CM49">
        <f>STDEV(CR21:CR23)</f>
        <v>104.79514990458469</v>
      </c>
      <c r="CN49">
        <f t="shared" si="185"/>
        <v>60.503508007179157</v>
      </c>
      <c r="CO49">
        <f>AVERAGE(CR24:CR26)</f>
        <v>61.805856908392023</v>
      </c>
      <c r="CP49">
        <f>STDEV(CR24:CR26)</f>
        <v>38.78463411371488</v>
      </c>
      <c r="CQ49">
        <f t="shared" si="186"/>
        <v>22.392318945974431</v>
      </c>
      <c r="CR49">
        <f t="shared" si="187"/>
        <v>7.2507445367877423</v>
      </c>
      <c r="CS49">
        <f t="shared" si="188"/>
        <v>36.230092204957351</v>
      </c>
      <c r="CU49">
        <v>48</v>
      </c>
      <c r="CV49">
        <f>AVERAGE(DB21:DB23)</f>
        <v>435.27948958048495</v>
      </c>
      <c r="CW49">
        <f>STDEV(DB21:DB23)</f>
        <v>26.198618585492991</v>
      </c>
      <c r="CX49">
        <f t="shared" si="189"/>
        <v>15.125779492730711</v>
      </c>
      <c r="CY49">
        <f>AVERAGE(DB24:DB26)</f>
        <v>18.245408835894615</v>
      </c>
      <c r="CZ49">
        <f>STDEV(DB24:DB26)</f>
        <v>10.604136995968851</v>
      </c>
      <c r="DA49">
        <f t="shared" si="190"/>
        <v>6.1223013491462863</v>
      </c>
      <c r="DB49">
        <f t="shared" si="191"/>
        <v>3.4749580108423404</v>
      </c>
      <c r="DC49">
        <f t="shared" si="192"/>
        <v>33.555298235366152</v>
      </c>
      <c r="DK49">
        <v>1117</v>
      </c>
      <c r="DM49">
        <v>166</v>
      </c>
      <c r="DO49">
        <v>12</v>
      </c>
      <c r="DP49">
        <f>AVERAGE(DV9:DV11)</f>
        <v>406.19153291745647</v>
      </c>
      <c r="DQ49">
        <f>STDEV(DV9:DV11)</f>
        <v>226.28401808735427</v>
      </c>
      <c r="DR49">
        <f t="shared" ref="DR49:DR51" si="213">DQ49/SQRT(3)</f>
        <v>130.64513875604413</v>
      </c>
      <c r="DS49">
        <f>AVERAGE(DV12:DV14)</f>
        <v>260.40752720454361</v>
      </c>
      <c r="DT49">
        <f>STDEV(DV12:DV14)</f>
        <v>137.1543583972929</v>
      </c>
      <c r="DU49">
        <f t="shared" ref="DU49:DU50" si="214">DT49/SQRT(3)</f>
        <v>79.18610574120747</v>
      </c>
      <c r="DV49">
        <f t="shared" ref="DV49:DV51" si="215">DR49/DP49*100</f>
        <v>32.163432314231173</v>
      </c>
      <c r="DW49">
        <f t="shared" ref="DW49:DW51" si="216">DU49/DS49*100</f>
        <v>30.408531808302435</v>
      </c>
      <c r="DY49">
        <v>48</v>
      </c>
      <c r="DZ49">
        <f>AVERAGE(EF21:EF23)</f>
        <v>212.69584193328492</v>
      </c>
      <c r="EA49">
        <f>STDEV(EF21:EF23)</f>
        <v>90.540930105558402</v>
      </c>
      <c r="EB49">
        <f t="shared" si="193"/>
        <v>52.273830369123239</v>
      </c>
      <c r="EC49">
        <f>AVERAGE(EF24:EF25)</f>
        <v>199.35910897342546</v>
      </c>
      <c r="ED49">
        <f>STDEV(EF24:EF25)</f>
        <v>105.37576872935145</v>
      </c>
      <c r="EE49">
        <f>ED49/SQRT(2)</f>
        <v>74.511920641269754</v>
      </c>
      <c r="EF49">
        <f t="shared" si="195"/>
        <v>24.576799383562783</v>
      </c>
      <c r="EG49">
        <f t="shared" si="196"/>
        <v>37.375729167811528</v>
      </c>
      <c r="EI49">
        <v>48</v>
      </c>
      <c r="EJ49">
        <f>AVERAGE(EP21:EP23)</f>
        <v>328.79467690063706</v>
      </c>
      <c r="EK49">
        <f>STDEV(EP21:EP23)</f>
        <v>229.26237543236087</v>
      </c>
      <c r="EL49">
        <f t="shared" si="197"/>
        <v>132.36469417092661</v>
      </c>
      <c r="EM49">
        <f>AVERAGE(EP24:EP25)</f>
        <v>396.47091801335694</v>
      </c>
      <c r="EN49">
        <f>STDEV(EP24:EP25)</f>
        <v>12.952490111608835</v>
      </c>
      <c r="EO49">
        <f>EN49/SQRT(2)</f>
        <v>9.1587935911703084</v>
      </c>
      <c r="EP49">
        <f t="shared" si="199"/>
        <v>40.257553868771332</v>
      </c>
      <c r="EQ49">
        <f t="shared" si="200"/>
        <v>2.3100795480948118</v>
      </c>
      <c r="ES49">
        <v>24</v>
      </c>
      <c r="ET49">
        <f>AVERAGE(EZ15:EZ17)</f>
        <v>125.41900179269548</v>
      </c>
      <c r="EU49">
        <f>STDEV(EZ15:EZ17)</f>
        <v>48.336815497116682</v>
      </c>
      <c r="EV49">
        <f t="shared" si="201"/>
        <v>27.907273439029591</v>
      </c>
      <c r="EW49">
        <f>AVERAGE(EZ18:EZ20)</f>
        <v>263.78282527010691</v>
      </c>
      <c r="EX49">
        <f>STDEV(EZ18:EZ20)</f>
        <v>102.42835721157334</v>
      </c>
      <c r="EY49">
        <f t="shared" si="202"/>
        <v>59.137039608753021</v>
      </c>
      <c r="EZ49">
        <f t="shared" si="203"/>
        <v>22.251232301431806</v>
      </c>
      <c r="FA49">
        <f t="shared" si="204"/>
        <v>22.418836233252939</v>
      </c>
    </row>
    <row r="50" spans="39:157">
      <c r="AM50">
        <v>24</v>
      </c>
      <c r="AN50">
        <f>AVERAGE(AT15:AT17)</f>
        <v>167.63865832631365</v>
      </c>
      <c r="AO50">
        <f>STDEV(AT15:AT17)</f>
        <v>122.69266669403595</v>
      </c>
      <c r="AP50">
        <f t="shared" si="205"/>
        <v>70.836644143394693</v>
      </c>
      <c r="AQ50">
        <f>AVERAGE(AT18:AT20)</f>
        <v>108.6715272882991</v>
      </c>
      <c r="AR50">
        <f>STDEV(AT18:AT20)</f>
        <v>39.834668436403149</v>
      </c>
      <c r="AS50">
        <f t="shared" si="206"/>
        <v>22.998556544836848</v>
      </c>
      <c r="AT50">
        <f t="shared" si="207"/>
        <v>42.255554208450569</v>
      </c>
      <c r="AU50">
        <f t="shared" si="208"/>
        <v>21.16336920877448</v>
      </c>
      <c r="AW50">
        <v>24</v>
      </c>
      <c r="AX50">
        <f>AVERAGE(BD15:BD17)</f>
        <v>1340.3898580577379</v>
      </c>
      <c r="AY50">
        <f>STDEV(BD15:BD17)</f>
        <v>857.93441316863084</v>
      </c>
      <c r="AZ50">
        <f t="shared" si="209"/>
        <v>495.32866438995268</v>
      </c>
      <c r="BA50">
        <f>AVERAGE(BD18:BD20)</f>
        <v>891.17375064090663</v>
      </c>
      <c r="BB50">
        <f>STDEV(BD18:BD20)</f>
        <v>427.70156118041217</v>
      </c>
      <c r="BC50">
        <f t="shared" si="210"/>
        <v>246.93361148033418</v>
      </c>
      <c r="BD50">
        <f t="shared" si="211"/>
        <v>36.954074324890648</v>
      </c>
      <c r="BE50">
        <f t="shared" si="212"/>
        <v>27.70880664996546</v>
      </c>
      <c r="BN50">
        <f>AVERAGE(BN46:BO49)</f>
        <v>28.273152654015849</v>
      </c>
      <c r="BX50">
        <f>AVERAGE(BX46:BY49)</f>
        <v>28.220320270888134</v>
      </c>
      <c r="CH50">
        <f>AVERAGE(CH46:CI49)</f>
        <v>31.495468045071071</v>
      </c>
      <c r="CR50">
        <f>AVERAGE(CR46:CS49)</f>
        <v>24.132000849894617</v>
      </c>
      <c r="DB50">
        <f>AVERAGE(DB46:DC49)</f>
        <v>17.746487851063684</v>
      </c>
      <c r="DL50">
        <v>1045</v>
      </c>
      <c r="DM50">
        <v>155</v>
      </c>
      <c r="DO50">
        <v>24</v>
      </c>
      <c r="DP50">
        <f>AVERAGE(DV15:DV17)</f>
        <v>245.66506826835464</v>
      </c>
      <c r="DQ50">
        <f>STDEV(DV15:DV17)</f>
        <v>90.944154506724189</v>
      </c>
      <c r="DR50">
        <f t="shared" si="213"/>
        <v>52.506632085680131</v>
      </c>
      <c r="DS50">
        <f>AVERAGE(DV18:DV20)</f>
        <v>235.39116355006013</v>
      </c>
      <c r="DT50">
        <f>STDEV(DV18:DV20)</f>
        <v>80.47041815199367</v>
      </c>
      <c r="DU50">
        <f t="shared" si="214"/>
        <v>46.459617581855298</v>
      </c>
      <c r="DV50">
        <f t="shared" si="215"/>
        <v>21.373259314313255</v>
      </c>
      <c r="DW50">
        <f t="shared" si="216"/>
        <v>19.737196962355313</v>
      </c>
      <c r="EF50">
        <f>AVERAGE(EF46:EG49)</f>
        <v>23.537202946091082</v>
      </c>
      <c r="EG50">
        <f>STDEV(EF46:EG49)</f>
        <v>8.7770149556926906</v>
      </c>
      <c r="ES50">
        <v>48</v>
      </c>
      <c r="ET50">
        <f>AVERAGE(EZ21:EZ23)</f>
        <v>133.7846928276029</v>
      </c>
      <c r="EU50">
        <f>STDEV(EZ21:EZ23)</f>
        <v>20.556972043510704</v>
      </c>
      <c r="EV50">
        <f t="shared" si="201"/>
        <v>11.868573343044517</v>
      </c>
      <c r="EW50">
        <f>AVERAGE(EZ24:EZ25)</f>
        <v>167.9791727281478</v>
      </c>
      <c r="EX50">
        <f>STDEV(EZ24:EZ25)</f>
        <v>115.56274965860581</v>
      </c>
      <c r="EY50">
        <f>EX50/SQRT(2)</f>
        <v>81.715203936163547</v>
      </c>
      <c r="EZ50">
        <f t="shared" si="203"/>
        <v>8.8713985824510964</v>
      </c>
      <c r="FA50">
        <f t="shared" si="204"/>
        <v>48.646033081975496</v>
      </c>
    </row>
    <row r="51" spans="39:157">
      <c r="AM51">
        <v>48</v>
      </c>
      <c r="AN51">
        <f>AVERAGE(AT21:AT23)</f>
        <v>52.618658322770017</v>
      </c>
      <c r="AO51">
        <f>STDEV(AT21:AT23)</f>
        <v>11.099582063192805</v>
      </c>
      <c r="AP51">
        <f t="shared" si="205"/>
        <v>6.4083466920767087</v>
      </c>
      <c r="AQ51">
        <f>AVERAGE(AT24:AT26)</f>
        <v>6.6765800965878013</v>
      </c>
      <c r="AR51">
        <f>STDEV(AT24:AT26)</f>
        <v>4.2861113396187074</v>
      </c>
      <c r="AS51">
        <f t="shared" si="206"/>
        <v>2.4745875357055684</v>
      </c>
      <c r="AT51">
        <f t="shared" si="207"/>
        <v>12.178848523212123</v>
      </c>
      <c r="AU51">
        <f t="shared" si="208"/>
        <v>37.063698778514699</v>
      </c>
      <c r="AW51">
        <v>48</v>
      </c>
      <c r="AX51">
        <f>AVERAGE(BD21:BD23)</f>
        <v>563.04135956400785</v>
      </c>
      <c r="AY51">
        <f>STDEV(BD21:BD23)</f>
        <v>64.936824469271016</v>
      </c>
      <c r="AZ51">
        <f t="shared" si="209"/>
        <v>37.491293087653098</v>
      </c>
      <c r="BA51">
        <f>AVERAGE(BD24:BD26)</f>
        <v>62.972794701058341</v>
      </c>
      <c r="BB51">
        <f>STDEV(BD24:BD26)</f>
        <v>36.581912858345611</v>
      </c>
      <c r="BC51">
        <f t="shared" si="210"/>
        <v>21.120577236237271</v>
      </c>
      <c r="BD51">
        <f t="shared" si="211"/>
        <v>6.6587103151151368</v>
      </c>
      <c r="BE51">
        <f t="shared" si="212"/>
        <v>33.539209013193613</v>
      </c>
      <c r="DK51">
        <v>1473</v>
      </c>
      <c r="DM51">
        <v>525</v>
      </c>
      <c r="DO51">
        <v>48</v>
      </c>
      <c r="DP51">
        <f>AVERAGE(DV21:DV23)</f>
        <v>306.1678536177044</v>
      </c>
      <c r="DQ51">
        <f>STDEV(DV21:DV23)</f>
        <v>45.851729021606246</v>
      </c>
      <c r="DR51">
        <f t="shared" si="213"/>
        <v>26.472508093434143</v>
      </c>
      <c r="DS51">
        <f>AVERAGE(DV24:DV25)</f>
        <v>148.06853254857933</v>
      </c>
      <c r="DT51">
        <f>STDEV(DV24:DV25)</f>
        <v>52.102926291010739</v>
      </c>
      <c r="DU51">
        <f>DT51/SQRT(2)</f>
        <v>36.842332500036541</v>
      </c>
      <c r="DV51">
        <f t="shared" si="215"/>
        <v>8.6464035268996469</v>
      </c>
      <c r="DW51">
        <f t="shared" si="216"/>
        <v>24.881946127175304</v>
      </c>
      <c r="EZ51">
        <f>AVERAGE(EZ47:FA50)</f>
        <v>26.067944605213416</v>
      </c>
      <c r="FA51">
        <f>STDEV(EZ47:FA50)</f>
        <v>13.730434783195484</v>
      </c>
    </row>
    <row r="52" spans="39:157">
      <c r="AT52">
        <f>AVERAGE(AT48:AU51)</f>
        <v>34.730672219846518</v>
      </c>
      <c r="BD52">
        <f>AVERAGE(BD48:BE51)</f>
        <v>34.483141323927434</v>
      </c>
      <c r="DL52">
        <v>1204</v>
      </c>
      <c r="DM52">
        <v>105</v>
      </c>
      <c r="DV52">
        <f>AVERAGE(DV48:DW51)</f>
        <v>21.264462222729826</v>
      </c>
      <c r="DW52">
        <f>STDEV(DV48:DW51)</f>
        <v>8.1391359693448653</v>
      </c>
    </row>
    <row r="53" spans="39:157">
      <c r="DK53">
        <v>2637</v>
      </c>
      <c r="DM53">
        <v>952</v>
      </c>
      <c r="DP53" t="s">
        <v>880</v>
      </c>
    </row>
    <row r="54" spans="39:157">
      <c r="AS54" t="s">
        <v>842</v>
      </c>
      <c r="DL54">
        <v>1223</v>
      </c>
      <c r="DM54">
        <v>296</v>
      </c>
    </row>
    <row r="55" spans="39:157">
      <c r="AS55">
        <v>22.5</v>
      </c>
      <c r="AT55">
        <v>26.3</v>
      </c>
      <c r="AU55">
        <v>30.2</v>
      </c>
    </row>
    <row r="56" spans="39:157">
      <c r="AS56">
        <v>22.9</v>
      </c>
      <c r="AT56">
        <v>26.7</v>
      </c>
      <c r="AU56">
        <v>30.5</v>
      </c>
    </row>
    <row r="57" spans="39:157">
      <c r="AS57">
        <v>22.2</v>
      </c>
      <c r="AT57">
        <v>27.1</v>
      </c>
      <c r="AU57">
        <v>30.1</v>
      </c>
      <c r="AV57" t="s">
        <v>845</v>
      </c>
    </row>
    <row r="58" spans="39:157">
      <c r="AS58">
        <f>AVERAGE(AS55:AS57)</f>
        <v>22.533333333333331</v>
      </c>
      <c r="AT58">
        <f t="shared" ref="AT58:AU58" si="217">AVERAGE(AT55:AT57)</f>
        <v>26.7</v>
      </c>
      <c r="AU58">
        <f t="shared" si="217"/>
        <v>30.266666666666669</v>
      </c>
    </row>
    <row r="59" spans="39:157">
      <c r="AU59">
        <f>AU58-AS58</f>
        <v>7.7333333333333378</v>
      </c>
    </row>
    <row r="60" spans="39:157">
      <c r="AU60">
        <f>AU59/2</f>
        <v>3.8666666666666689</v>
      </c>
    </row>
    <row r="61" spans="39:157">
      <c r="AU61">
        <f>10^(1/AU60)</f>
        <v>1.813930693911062</v>
      </c>
    </row>
    <row r="62" spans="39:157">
      <c r="AT62" t="s">
        <v>840</v>
      </c>
    </row>
    <row r="63" spans="39:157">
      <c r="AT63" t="s">
        <v>841</v>
      </c>
    </row>
    <row r="64" spans="39:157">
      <c r="AS64">
        <v>21</v>
      </c>
      <c r="AT64">
        <v>24.4</v>
      </c>
      <c r="AU64">
        <v>28.2</v>
      </c>
    </row>
    <row r="65" spans="45:47">
      <c r="AS65">
        <v>20.8</v>
      </c>
      <c r="AT65">
        <v>24.8</v>
      </c>
      <c r="AU65">
        <v>28</v>
      </c>
    </row>
    <row r="66" spans="45:47">
      <c r="AT66">
        <v>24.6</v>
      </c>
      <c r="AU66">
        <v>28.3</v>
      </c>
    </row>
    <row r="67" spans="45:47">
      <c r="AS67">
        <v>21.3</v>
      </c>
      <c r="AT67">
        <v>24.6</v>
      </c>
      <c r="AU67">
        <v>28.12</v>
      </c>
    </row>
    <row r="68" spans="45:47">
      <c r="AT68">
        <f>AU67-AS67</f>
        <v>6.82</v>
      </c>
      <c r="AU68">
        <f>AU67-AT67</f>
        <v>3.5199999999999996</v>
      </c>
    </row>
    <row r="69" spans="45:47">
      <c r="AT69">
        <f>10^(1/3.6)</f>
        <v>1.895735652406376</v>
      </c>
      <c r="AU69">
        <f>AT68/2</f>
        <v>3.41</v>
      </c>
    </row>
    <row r="70" spans="45:47">
      <c r="AT70" t="s">
        <v>843</v>
      </c>
    </row>
    <row r="71" spans="45:47">
      <c r="AT71">
        <f>10^(1/AU69)</f>
        <v>1.9645140173268096</v>
      </c>
    </row>
    <row r="72" spans="45:47">
      <c r="AT72" t="s">
        <v>844</v>
      </c>
    </row>
    <row r="78" spans="45:47">
      <c r="AT78" t="s">
        <v>1092</v>
      </c>
    </row>
    <row r="79" spans="45:47">
      <c r="AT79">
        <v>22.1</v>
      </c>
      <c r="AU79">
        <v>0.96</v>
      </c>
    </row>
    <row r="80" spans="45:47">
      <c r="AT80" t="s">
        <v>1093</v>
      </c>
    </row>
    <row r="81" spans="46:47">
      <c r="AT81" t="s">
        <v>920</v>
      </c>
    </row>
    <row r="82" spans="46:47">
      <c r="AT82">
        <v>24.9</v>
      </c>
      <c r="AU82">
        <v>1.85</v>
      </c>
    </row>
    <row r="83" spans="46:47">
      <c r="AT83">
        <f>MIN(AP3:AP26)</f>
        <v>21.7</v>
      </c>
    </row>
    <row r="84" spans="46:47">
      <c r="AT84">
        <f>MAX(AP3:AP26)</f>
        <v>28.400000000000002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temp data</vt:lpstr>
      <vt:lpstr>extractions</vt:lpstr>
      <vt:lpstr>HSP70H DNA</vt:lpstr>
      <vt:lpstr>hsp70z DNA</vt:lpstr>
      <vt:lpstr>hsp70z cDNA</vt:lpstr>
      <vt:lpstr>hsp70h cDNA</vt:lpstr>
      <vt:lpstr>host EST breakdown</vt:lpstr>
      <vt:lpstr>Sym EST breakdown</vt:lpstr>
      <vt:lpstr>2012 qPCRs</vt:lpstr>
      <vt:lpstr>Sheet1</vt:lpstr>
      <vt:lpstr>PRIMER 2016</vt:lpstr>
    </vt:vector>
  </TitlesOfParts>
  <Company>Hawaii Institute of Marine Biology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Mayfield</dc:creator>
  <cp:lastModifiedBy>Anderson Mayfield</cp:lastModifiedBy>
  <dcterms:created xsi:type="dcterms:W3CDTF">2009-06-25T05:57:34Z</dcterms:created>
  <dcterms:modified xsi:type="dcterms:W3CDTF">2016-06-03T20:38:48Z</dcterms:modified>
</cp:coreProperties>
</file>