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showInkAnnotation="0" autoCompressPictures="0"/>
  <bookViews>
    <workbookView xWindow="0" yWindow="0" windowWidth="25540" windowHeight="17560" tabRatio="500"/>
  </bookViews>
  <sheets>
    <sheet name="Sheet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157" i="1" l="1"/>
  <c r="AI157" i="1"/>
  <c r="AJ157" i="1"/>
  <c r="AH160" i="1"/>
  <c r="AI160" i="1"/>
  <c r="AJ160" i="1"/>
  <c r="AH165" i="1"/>
  <c r="AI165" i="1"/>
  <c r="AJ165" i="1"/>
  <c r="AH167" i="1"/>
  <c r="AI167" i="1"/>
  <c r="AJ167" i="1"/>
  <c r="AH171" i="1"/>
  <c r="AI171" i="1"/>
  <c r="AJ171" i="1"/>
  <c r="AH172" i="1"/>
  <c r="AI172" i="1"/>
  <c r="AJ172" i="1"/>
  <c r="AH174" i="1"/>
  <c r="AI174" i="1"/>
  <c r="AJ174" i="1"/>
  <c r="AH176" i="1"/>
  <c r="AI176" i="1"/>
  <c r="AJ176" i="1"/>
  <c r="AH178" i="1"/>
  <c r="AI178" i="1"/>
  <c r="AJ178" i="1"/>
  <c r="AH179" i="1"/>
  <c r="AI179" i="1"/>
  <c r="AJ179" i="1"/>
  <c r="AH181" i="1"/>
  <c r="AI181" i="1"/>
  <c r="AJ181" i="1"/>
  <c r="AH183" i="1"/>
  <c r="AI183" i="1"/>
  <c r="AJ183" i="1"/>
  <c r="AH185" i="1"/>
  <c r="AI185" i="1"/>
  <c r="AJ185" i="1"/>
  <c r="AH187" i="1"/>
  <c r="AI187" i="1"/>
  <c r="AJ187" i="1"/>
  <c r="AH188" i="1"/>
  <c r="AI188" i="1"/>
  <c r="AJ188" i="1"/>
  <c r="AI190" i="1"/>
  <c r="AJ190" i="1"/>
  <c r="AH192" i="1"/>
  <c r="AI192" i="1"/>
  <c r="AJ192" i="1"/>
  <c r="AH194" i="1"/>
  <c r="AI194" i="1"/>
  <c r="AJ194" i="1"/>
  <c r="V183" i="1"/>
  <c r="AC183" i="1"/>
  <c r="AE183" i="1"/>
  <c r="V184" i="1"/>
  <c r="AC184" i="1"/>
  <c r="AE184" i="1"/>
  <c r="AI184" i="1"/>
  <c r="V188" i="1"/>
  <c r="AC188" i="1"/>
  <c r="AE188" i="1"/>
  <c r="V189" i="1"/>
  <c r="AC189" i="1"/>
  <c r="AE189" i="1"/>
  <c r="AI189" i="1"/>
  <c r="V4" i="1"/>
  <c r="AC4" i="1"/>
  <c r="AE4" i="1"/>
  <c r="V6" i="1"/>
  <c r="AC6" i="1"/>
  <c r="AE6" i="1"/>
  <c r="V8" i="1"/>
  <c r="AC8" i="1"/>
  <c r="AE8" i="1"/>
  <c r="V12" i="1"/>
  <c r="AC12" i="1"/>
  <c r="AE12" i="1"/>
  <c r="V14" i="1"/>
  <c r="AC14" i="1"/>
  <c r="AE14" i="1"/>
  <c r="AC17" i="1"/>
  <c r="AE17" i="1"/>
  <c r="V20" i="1"/>
  <c r="AC20" i="1"/>
  <c r="AE20" i="1"/>
  <c r="V21" i="1"/>
  <c r="AC21" i="1"/>
  <c r="AE21" i="1"/>
  <c r="V23" i="1"/>
  <c r="AC23" i="1"/>
  <c r="AE23" i="1"/>
  <c r="V25" i="1"/>
  <c r="AC25" i="1"/>
  <c r="AE25" i="1"/>
  <c r="V27" i="1"/>
  <c r="AC27" i="1"/>
  <c r="AE27" i="1"/>
  <c r="V31" i="1"/>
  <c r="AC31" i="1"/>
  <c r="AE31" i="1"/>
  <c r="V32" i="1"/>
  <c r="AC32" i="1"/>
  <c r="AE32" i="1"/>
  <c r="V33" i="1"/>
  <c r="AC33" i="1"/>
  <c r="AE33" i="1"/>
  <c r="V35" i="1"/>
  <c r="AC35" i="1"/>
  <c r="AE35" i="1"/>
  <c r="V36" i="1"/>
  <c r="AC36" i="1"/>
  <c r="AE36" i="1"/>
  <c r="V39" i="1"/>
  <c r="AC39" i="1"/>
  <c r="AE39" i="1"/>
  <c r="V40" i="1"/>
  <c r="AC40" i="1"/>
  <c r="AE40" i="1"/>
  <c r="V41" i="1"/>
  <c r="AC41" i="1"/>
  <c r="AE41" i="1"/>
  <c r="V42" i="1"/>
  <c r="AC42" i="1"/>
  <c r="AE42" i="1"/>
  <c r="V43" i="1"/>
  <c r="AC43" i="1"/>
  <c r="AE43" i="1"/>
  <c r="V44" i="1"/>
  <c r="AC44" i="1"/>
  <c r="AE44" i="1"/>
  <c r="V45" i="1"/>
  <c r="AC45" i="1"/>
  <c r="AE45" i="1"/>
  <c r="V46" i="1"/>
  <c r="AC46" i="1"/>
  <c r="AE46" i="1"/>
  <c r="V47" i="1"/>
  <c r="AC47" i="1"/>
  <c r="AE47" i="1"/>
  <c r="V48" i="1"/>
  <c r="AC48" i="1"/>
  <c r="AE48" i="1"/>
  <c r="V49" i="1"/>
  <c r="AC49" i="1"/>
  <c r="AE49" i="1"/>
  <c r="V50" i="1"/>
  <c r="AC50" i="1"/>
  <c r="AE50" i="1"/>
  <c r="V52" i="1"/>
  <c r="AC52" i="1"/>
  <c r="AE52" i="1"/>
  <c r="V53" i="1"/>
  <c r="AC53" i="1"/>
  <c r="AE53" i="1"/>
  <c r="V59" i="1"/>
  <c r="AC59" i="1"/>
  <c r="AE59" i="1"/>
  <c r="V70" i="1"/>
  <c r="AC70" i="1"/>
  <c r="AE70" i="1"/>
  <c r="V71" i="1"/>
  <c r="AC71" i="1"/>
  <c r="AE71" i="1"/>
  <c r="V72" i="1"/>
  <c r="AC72" i="1"/>
  <c r="AE72" i="1"/>
  <c r="V74" i="1"/>
  <c r="AC74" i="1"/>
  <c r="AE74" i="1"/>
  <c r="V75" i="1"/>
  <c r="AC75" i="1"/>
  <c r="AE75" i="1"/>
  <c r="V76" i="1"/>
  <c r="AC76" i="1"/>
  <c r="AE76" i="1"/>
  <c r="V77" i="1"/>
  <c r="AC77" i="1"/>
  <c r="AE77" i="1"/>
  <c r="V80" i="1"/>
  <c r="AC80" i="1"/>
  <c r="AE80" i="1"/>
  <c r="V81" i="1"/>
  <c r="AC81" i="1"/>
  <c r="AE81" i="1"/>
  <c r="V84" i="1"/>
  <c r="AC84" i="1"/>
  <c r="AE84" i="1"/>
  <c r="V86" i="1"/>
  <c r="AC86" i="1"/>
  <c r="AE86" i="1"/>
  <c r="V87" i="1"/>
  <c r="AC87" i="1"/>
  <c r="AE87" i="1"/>
  <c r="V89" i="1"/>
  <c r="AC89" i="1"/>
  <c r="AE89" i="1"/>
  <c r="V90" i="1"/>
  <c r="AC90" i="1"/>
  <c r="AE90" i="1"/>
  <c r="V91" i="1"/>
  <c r="AC91" i="1"/>
  <c r="AE91" i="1"/>
  <c r="V93" i="1"/>
  <c r="AC93" i="1"/>
  <c r="AE93" i="1"/>
  <c r="V96" i="1"/>
  <c r="AC96" i="1"/>
  <c r="AE96" i="1"/>
  <c r="V98" i="1"/>
  <c r="AC98" i="1"/>
  <c r="AE98" i="1"/>
  <c r="V100" i="1"/>
  <c r="AC100" i="1"/>
  <c r="AE100" i="1"/>
  <c r="V106" i="1"/>
  <c r="AC106" i="1"/>
  <c r="AE106" i="1"/>
  <c r="V108" i="1"/>
  <c r="AC108" i="1"/>
  <c r="AE108" i="1"/>
  <c r="V110" i="1"/>
  <c r="AC110" i="1"/>
  <c r="AE110" i="1"/>
  <c r="V117" i="1"/>
  <c r="AC117" i="1"/>
  <c r="AE117" i="1"/>
  <c r="V121" i="1"/>
  <c r="AC121" i="1"/>
  <c r="AE121" i="1"/>
  <c r="V130" i="1"/>
  <c r="AC130" i="1"/>
  <c r="AE130" i="1"/>
  <c r="V134" i="1"/>
  <c r="AC134" i="1"/>
  <c r="AE134" i="1"/>
  <c r="V150" i="1"/>
  <c r="AC150" i="1"/>
  <c r="AE150" i="1"/>
  <c r="V152" i="1"/>
  <c r="AC152" i="1"/>
  <c r="AE152" i="1"/>
  <c r="V154" i="1"/>
  <c r="AC154" i="1"/>
  <c r="AE154" i="1"/>
  <c r="V156" i="1"/>
  <c r="AC156" i="1"/>
  <c r="AE156" i="1"/>
  <c r="V157" i="1"/>
  <c r="AC157" i="1"/>
  <c r="AE157" i="1"/>
  <c r="V159" i="1"/>
  <c r="AC159" i="1"/>
  <c r="AE159" i="1"/>
  <c r="V160" i="1"/>
  <c r="AC160" i="1"/>
  <c r="AE160" i="1"/>
  <c r="V162" i="1"/>
  <c r="AC162" i="1"/>
  <c r="AE162" i="1"/>
  <c r="V163" i="1"/>
  <c r="AC163" i="1"/>
  <c r="AE163" i="1"/>
  <c r="V165" i="1"/>
  <c r="AC165" i="1"/>
  <c r="AE165" i="1"/>
  <c r="V166" i="1"/>
  <c r="AC166" i="1"/>
  <c r="AE166" i="1"/>
  <c r="V167" i="1"/>
  <c r="AC167" i="1"/>
  <c r="AE167" i="1"/>
  <c r="V168" i="1"/>
  <c r="AC168" i="1"/>
  <c r="AE168" i="1"/>
  <c r="AE169" i="1"/>
  <c r="V173" i="1"/>
  <c r="AC173" i="1"/>
  <c r="AE173" i="1"/>
  <c r="V175" i="1"/>
  <c r="AC175" i="1"/>
  <c r="AE175" i="1"/>
  <c r="V178" i="1"/>
  <c r="AC178" i="1"/>
  <c r="AE178" i="1"/>
  <c r="V179" i="1"/>
  <c r="AC179" i="1"/>
  <c r="AE179" i="1"/>
  <c r="V180" i="1"/>
  <c r="AC180" i="1"/>
  <c r="AE180" i="1"/>
  <c r="V181" i="1"/>
  <c r="AC181" i="1"/>
  <c r="AE181" i="1"/>
  <c r="V185" i="1"/>
  <c r="AC185" i="1"/>
  <c r="AE185" i="1"/>
  <c r="V187" i="1"/>
  <c r="AC187" i="1"/>
  <c r="AE187" i="1"/>
  <c r="V190" i="1"/>
  <c r="AC190" i="1"/>
  <c r="AE190" i="1"/>
  <c r="V192" i="1"/>
  <c r="AC192" i="1"/>
  <c r="AE192" i="1"/>
  <c r="V194" i="1"/>
  <c r="AC194" i="1"/>
  <c r="AE194" i="1"/>
  <c r="V196" i="1"/>
  <c r="AC196" i="1"/>
  <c r="AE196" i="1"/>
  <c r="V197" i="1"/>
  <c r="AC197" i="1"/>
  <c r="AE197" i="1"/>
  <c r="V198" i="1"/>
  <c r="AC198" i="1"/>
  <c r="AE198" i="1"/>
  <c r="AC172" i="1"/>
  <c r="AC176" i="1"/>
  <c r="AC182" i="1"/>
  <c r="AB192" i="1"/>
  <c r="AA196" i="1"/>
  <c r="V18" i="1"/>
  <c r="V22" i="1"/>
  <c r="V29" i="1"/>
  <c r="V82" i="1"/>
  <c r="V127" i="1"/>
  <c r="V145" i="1"/>
  <c r="V149" i="1"/>
  <c r="V158" i="1"/>
  <c r="V161" i="1"/>
  <c r="V191" i="1"/>
  <c r="V193" i="1"/>
  <c r="V195" i="1"/>
  <c r="U192" i="1"/>
  <c r="AH198" i="1"/>
  <c r="AI198" i="1"/>
  <c r="AJ198" i="1"/>
  <c r="AI197" i="1"/>
  <c r="AH196" i="1"/>
  <c r="AI196" i="1"/>
  <c r="AJ196" i="1"/>
  <c r="AK188" i="1"/>
  <c r="AK187" i="1"/>
  <c r="AK185" i="1"/>
  <c r="AK183" i="1"/>
  <c r="AK181" i="1"/>
  <c r="AK179" i="1"/>
  <c r="AK178" i="1"/>
  <c r="AK176" i="1"/>
  <c r="AK174" i="1"/>
  <c r="AK172" i="1"/>
  <c r="AK171" i="1"/>
  <c r="AK167" i="1"/>
  <c r="AG164" i="1"/>
  <c r="AK160" i="1"/>
  <c r="AK157" i="1"/>
  <c r="AC148" i="1"/>
  <c r="AC126" i="1"/>
  <c r="AC125" i="1"/>
  <c r="AC123" i="1"/>
  <c r="AC113" i="1"/>
  <c r="AC103" i="1"/>
  <c r="AF90" i="1"/>
  <c r="AC85" i="1"/>
  <c r="N68" i="1"/>
  <c r="N67" i="1"/>
  <c r="N66" i="1"/>
  <c r="N65" i="1"/>
  <c r="AC64" i="1"/>
  <c r="AC63" i="1"/>
  <c r="AC55" i="1"/>
  <c r="AC37" i="1"/>
  <c r="AC19" i="1"/>
  <c r="AC15" i="1"/>
  <c r="AC13" i="1"/>
  <c r="AC11" i="1"/>
  <c r="AC10" i="1"/>
  <c r="AC9" i="1"/>
  <c r="AC7" i="1"/>
  <c r="AC5" i="1"/>
  <c r="AC3" i="1"/>
</calcChain>
</file>

<file path=xl/sharedStrings.xml><?xml version="1.0" encoding="utf-8"?>
<sst xmlns="http://schemas.openxmlformats.org/spreadsheetml/2006/main" count="1719" uniqueCount="326">
  <si>
    <t>sample #</t>
  </si>
  <si>
    <t>Island</t>
  </si>
  <si>
    <t>site</t>
  </si>
  <si>
    <t>Lat</t>
  </si>
  <si>
    <t>Long</t>
  </si>
  <si>
    <t>species</t>
  </si>
  <si>
    <t>notes</t>
  </si>
  <si>
    <t>date</t>
  </si>
  <si>
    <t>collection time</t>
  </si>
  <si>
    <t xml:space="preserve">temp. </t>
  </si>
  <si>
    <t>avg. site temp</t>
  </si>
  <si>
    <t>salinity</t>
  </si>
  <si>
    <t>depth</t>
  </si>
  <si>
    <t>dive conditions</t>
  </si>
  <si>
    <t>visibility</t>
  </si>
  <si>
    <t>max length (cm)</t>
  </si>
  <si>
    <t>planar SA (cm2)</t>
  </si>
  <si>
    <t>storage conditions</t>
  </si>
  <si>
    <t>[RNA]</t>
  </si>
  <si>
    <t>260/280</t>
  </si>
  <si>
    <t>260/230</t>
  </si>
  <si>
    <t>total RNA</t>
  </si>
  <si>
    <t>diluted to</t>
  </si>
  <si>
    <t>ng cDNA</t>
  </si>
  <si>
    <t>[DNA]</t>
  </si>
  <si>
    <t>total DNA</t>
  </si>
  <si>
    <t>RNA/DNA</t>
  </si>
  <si>
    <t>[abs]</t>
  </si>
  <si>
    <t>ng/20 ul</t>
  </si>
  <si>
    <t>ng/ul</t>
  </si>
  <si>
    <t>total protein</t>
  </si>
  <si>
    <t>ul to 20 ug</t>
  </si>
  <si>
    <t>Raivavae</t>
  </si>
  <si>
    <t>AURV01</t>
  </si>
  <si>
    <r>
      <t xml:space="preserve">PD or PV, </t>
    </r>
    <r>
      <rPr>
        <sz val="12"/>
        <color theme="1"/>
        <rFont val="Calibri"/>
        <family val="2"/>
        <charset val="136"/>
        <scheme val="minor"/>
      </rPr>
      <t>no mORF sequence</t>
    </r>
  </si>
  <si>
    <t>stored in seawater for 4-5 hrs until fixed!</t>
  </si>
  <si>
    <t>clear but extremely surgey</t>
  </si>
  <si>
    <t>RNALater @ -80C</t>
  </si>
  <si>
    <t>failed</t>
  </si>
  <si>
    <t>AURV03</t>
  </si>
  <si>
    <t>P. damicornis</t>
  </si>
  <si>
    <t>samples 2-3 are pseudoreplicates from the</t>
  </si>
  <si>
    <t>NA</t>
  </si>
  <si>
    <t>clear with mild current and surge</t>
  </si>
  <si>
    <t>10 ng/ul</t>
  </si>
  <si>
    <t>precipitated in 1.5 ml acetone</t>
  </si>
  <si>
    <t>same colony</t>
  </si>
  <si>
    <t>20 ng/ul</t>
  </si>
  <si>
    <t>Histology protocol for samples 1-3 and 5-8</t>
  </si>
  <si>
    <t>AURV04</t>
  </si>
  <si>
    <t>histology sample was lost, took water sample</t>
  </si>
  <si>
    <t>absolutely stunning site</t>
  </si>
  <si>
    <t>1) 70% ethanol for 1.5 hrs, took pictures near beginning of incubation, though pigments may still have been extracted</t>
  </si>
  <si>
    <t>precipitated in 1.4 ml acetone</t>
  </si>
  <si>
    <t>AURV06</t>
  </si>
  <si>
    <t>2) 80% ethanol for 1.5 hrs</t>
  </si>
  <si>
    <t>histology sample was accidentally dried</t>
  </si>
  <si>
    <t>3) 90% ethanol for 30 min</t>
  </si>
  <si>
    <t>13:00-14:00 99%</t>
  </si>
  <si>
    <t>failed, discarded</t>
  </si>
  <si>
    <t>diluted entire aliquot</t>
  </si>
  <si>
    <t>4) 95% ethanol for 60 min</t>
  </si>
  <si>
    <t>14:00-15:00 99%</t>
  </si>
  <si>
    <t>sample 6 was poorly embedded and may fracture upon sectioning</t>
  </si>
  <si>
    <t>did not dilute</t>
  </si>
  <si>
    <t>April PCR failed</t>
  </si>
  <si>
    <t>no scale picture</t>
  </si>
  <si>
    <t>extremely surgey</t>
  </si>
  <si>
    <t>5) 95% ethanol for 60 min</t>
  </si>
  <si>
    <t>14:30-15:00 xylene</t>
  </si>
  <si>
    <t>re-extract DNA from backup</t>
  </si>
  <si>
    <t>AURV07</t>
  </si>
  <si>
    <t>took water sample</t>
  </si>
  <si>
    <t>too small to know species</t>
  </si>
  <si>
    <t>6) 1:1 xylene: 95% ethanol for 30 min</t>
  </si>
  <si>
    <t>15:00-15:30 xylene</t>
  </si>
  <si>
    <t>discarded</t>
  </si>
  <si>
    <t>7) xylene for 30 min</t>
  </si>
  <si>
    <t>15:40-16:00 xylene/parrafin</t>
  </si>
  <si>
    <t>left precipitated @ -20C</t>
  </si>
  <si>
    <t>8) xylene for 30 min</t>
  </si>
  <si>
    <t>16:00-16:30 xylene</t>
  </si>
  <si>
    <t>P. acuta</t>
  </si>
  <si>
    <t>tissues were mutilated during processing</t>
  </si>
  <si>
    <t>beautiful</t>
  </si>
  <si>
    <t>9) 1:1 xylene: paraffin for 20 min</t>
  </si>
  <si>
    <t>16:30-17:00 xylene</t>
  </si>
  <si>
    <t>AURV08</t>
  </si>
  <si>
    <t>surgey</t>
  </si>
  <si>
    <t>10) paraffin for 20 min</t>
  </si>
  <si>
    <t>17:00-17:30 xylene:paraffin</t>
  </si>
  <si>
    <t>MISSING</t>
  </si>
  <si>
    <t>no good pictures</t>
  </si>
  <si>
    <t>11) paraffin for 20 min</t>
  </si>
  <si>
    <t>17:30-18:00  paraffin</t>
  </si>
  <si>
    <t>PD or PV, no mORF sequence</t>
  </si>
  <si>
    <t>histology sample was accidentally mutilated</t>
  </si>
  <si>
    <t>histology protocol for samples 9-15</t>
  </si>
  <si>
    <t>1) 70% ethanol for 100 min</t>
  </si>
  <si>
    <t>7:15-8:55</t>
  </si>
  <si>
    <t>2) 80% ethanol for 90 min</t>
  </si>
  <si>
    <t>9:00-10:30</t>
  </si>
  <si>
    <t xml:space="preserve">samples 9, 12, and 14 were poorly embedded (too little paraffin in cassette) may break when sectioned </t>
  </si>
  <si>
    <t>Tubuai</t>
  </si>
  <si>
    <t>AUTB09</t>
  </si>
  <si>
    <t>10:30-11:00</t>
  </si>
  <si>
    <t>no mORF sequence</t>
  </si>
  <si>
    <t>11:00-12:00</t>
  </si>
  <si>
    <t>12:00-13:00</t>
  </si>
  <si>
    <t>6) xylene for 30 min</t>
  </si>
  <si>
    <t>13:15-13:45</t>
  </si>
  <si>
    <t>AUTB10</t>
  </si>
  <si>
    <t>13:45-14:15</t>
  </si>
  <si>
    <t>8) 1:1 xylene-paraffin for 20 min</t>
  </si>
  <si>
    <t>14:30-15:00</t>
  </si>
  <si>
    <t>70C at 40 mm Hg</t>
  </si>
  <si>
    <t>9) paraffin for 20 min</t>
  </si>
  <si>
    <t>15:00-15:30</t>
  </si>
  <si>
    <t>AUTB11</t>
  </si>
  <si>
    <t>15:30-16:00</t>
  </si>
  <si>
    <t>11) embed</t>
  </si>
  <si>
    <t>species verified by mORF sequence</t>
  </si>
  <si>
    <t xml:space="preserve"> AUTB11</t>
  </si>
  <si>
    <t>molecular work only</t>
  </si>
  <si>
    <t>surgey, strong surface current</t>
  </si>
  <si>
    <t>no cDNA pellet</t>
  </si>
  <si>
    <t>AUTB12</t>
  </si>
  <si>
    <t>perfect</t>
  </si>
  <si>
    <t>P. meandrina</t>
  </si>
  <si>
    <t>identity based on DNA sequence</t>
  </si>
  <si>
    <t>AUTB13</t>
  </si>
  <si>
    <t>40-45</t>
  </si>
  <si>
    <t>extract from samples transported at -150C first. Then, if time remains, extract RNA/DNA/protein from samples stored at RT</t>
  </si>
  <si>
    <t>AUTB15</t>
  </si>
  <si>
    <t>murky</t>
  </si>
  <si>
    <t>AUTB16</t>
  </si>
  <si>
    <t>Rurutu</t>
  </si>
  <si>
    <t>AURR18</t>
  </si>
  <si>
    <t>PD or PV</t>
  </si>
  <si>
    <t>P. verrucosa</t>
  </si>
  <si>
    <t>Sebastian thinks it could be P. brevicornis</t>
  </si>
  <si>
    <t>AURR19</t>
  </si>
  <si>
    <t>AURR20</t>
  </si>
  <si>
    <t>10 to 15</t>
  </si>
  <si>
    <t>Pocillopora sp. type 8A</t>
  </si>
  <si>
    <t>Rimatara</t>
  </si>
  <si>
    <t>AURM21</t>
  </si>
  <si>
    <t>water sample</t>
  </si>
  <si>
    <r>
      <t xml:space="preserve">no </t>
    </r>
    <r>
      <rPr>
        <i/>
        <sz val="12"/>
        <color theme="1"/>
        <rFont val="Times New Roman"/>
        <family val="1"/>
      </rPr>
      <t>P. damicornis</t>
    </r>
  </si>
  <si>
    <t>AURM22</t>
  </si>
  <si>
    <t>AURM23</t>
  </si>
  <si>
    <t>AURM24</t>
  </si>
  <si>
    <r>
      <t xml:space="preserve">water sample, </t>
    </r>
    <r>
      <rPr>
        <i/>
        <sz val="12"/>
        <color theme="1"/>
        <rFont val="Times New Roman"/>
        <family val="1"/>
      </rPr>
      <t>no P. damicornis</t>
    </r>
  </si>
  <si>
    <t>AURM25</t>
  </si>
  <si>
    <t xml:space="preserve">Rurutu and Rimatara were ravaged by COTS. Only Pocillopora spat at the latter site. </t>
  </si>
  <si>
    <t>Maria</t>
  </si>
  <si>
    <t>AUMA26</t>
  </si>
  <si>
    <t>water sample, coral was totally bleached</t>
  </si>
  <si>
    <t>under ledge, some pigmentation</t>
  </si>
  <si>
    <t>Pocillopora sp., no mORF sequence</t>
  </si>
  <si>
    <t>polyps extended in interior of colony, no mORF sequence</t>
  </si>
  <si>
    <t>beautiful with some surge</t>
  </si>
  <si>
    <t>under overhang, some pigmentation</t>
  </si>
  <si>
    <t>50 to 60</t>
  </si>
  <si>
    <t>AUMA27</t>
  </si>
  <si>
    <t>commensal crab inside</t>
  </si>
  <si>
    <t>do not use for qPCRs</t>
  </si>
  <si>
    <t>very small, under an acroporid</t>
  </si>
  <si>
    <t>totally bleached</t>
  </si>
  <si>
    <t>AUMA28</t>
  </si>
  <si>
    <t xml:space="preserve"> pale and very small</t>
  </si>
  <si>
    <t>beautiful with swell</t>
  </si>
  <si>
    <t>AUMA29</t>
  </si>
  <si>
    <t>mostly bleached</t>
  </si>
  <si>
    <t>under ledge, bleached</t>
  </si>
  <si>
    <t>some pigmentation in interior of colony</t>
  </si>
  <si>
    <t>AUMA30</t>
  </si>
  <si>
    <t>totally bleached exterior, darker interior</t>
  </si>
  <si>
    <t>100% bleached</t>
  </si>
  <si>
    <t>only brown in shaded section</t>
  </si>
  <si>
    <t>re-extract RNA and DNA from backup sample</t>
  </si>
  <si>
    <t>Rarotonga</t>
  </si>
  <si>
    <t>CIRR01</t>
  </si>
  <si>
    <t>site dominated by massive poritids</t>
  </si>
  <si>
    <t>murky with mild current</t>
  </si>
  <si>
    <t>normal pigmentation for Pdam, need to extract</t>
  </si>
  <si>
    <t>severely bleached, no good pictures</t>
  </si>
  <si>
    <t>CIRR02</t>
  </si>
  <si>
    <t>lost CTD</t>
  </si>
  <si>
    <t>huge swells, terrible conditions</t>
  </si>
  <si>
    <t>CIRR03</t>
  </si>
  <si>
    <t>on Brian's transect, strange looking, need to extract</t>
  </si>
  <si>
    <t>normal pigmentation</t>
  </si>
  <si>
    <t>need to redo PCF in July at ULL</t>
  </si>
  <si>
    <t>need to extract</t>
  </si>
  <si>
    <t>healthy appearance</t>
  </si>
  <si>
    <t>good but poor viz</t>
  </si>
  <si>
    <t>pale but healthy appearance</t>
  </si>
  <si>
    <t>CIRR04</t>
  </si>
  <si>
    <t>20% fully bleached, sampled bleached part</t>
  </si>
  <si>
    <t>good underwater, huge swells on surface</t>
  </si>
  <si>
    <t>healthy looking, no corals nearby, DID NOT EXTRACT</t>
  </si>
  <si>
    <t>huge swells on surface</t>
  </si>
  <si>
    <t>totally bleached, still has live tissue, DID NOT EXTRACT</t>
  </si>
  <si>
    <t>CIRR05</t>
  </si>
  <si>
    <t>darker pigmentation in interior</t>
  </si>
  <si>
    <t>too low (10 ng/ul) discarded</t>
  </si>
  <si>
    <t>100% bleached, still has extended polyps, DID NOT EXTRACT</t>
  </si>
  <si>
    <t>healthy, darkly pigmented</t>
  </si>
  <si>
    <t>CIRR06</t>
  </si>
  <si>
    <t>small, slightly pale, but healthy, DID NOT EXTRACT</t>
  </si>
  <si>
    <t>100% bleached, DID NOT EXTRACT</t>
  </si>
  <si>
    <t xml:space="preserve"> precipitated in 1.4 ml acetone   </t>
  </si>
  <si>
    <t>CIRR07</t>
  </si>
  <si>
    <t>good</t>
  </si>
  <si>
    <t>moderate: pale exterior, pigmented interior</t>
  </si>
  <si>
    <t>swell/surge</t>
  </si>
  <si>
    <t>healthy appearance, sampled darkly pigmented</t>
  </si>
  <si>
    <t>healthy</t>
  </si>
  <si>
    <t>discarded due to low concentration</t>
  </si>
  <si>
    <t>CIRR08</t>
  </si>
  <si>
    <t>healthy though some bleached sections (5%), DID NOT EXTRACT</t>
  </si>
  <si>
    <t>surge in shallower parts</t>
  </si>
  <si>
    <t>large, healthy, dark pigmentation</t>
  </si>
  <si>
    <t>BSA</t>
  </si>
  <si>
    <t>abs</t>
  </si>
  <si>
    <t>moderately healthy, pale</t>
  </si>
  <si>
    <t>super surgey</t>
  </si>
  <si>
    <t>CIRR09</t>
  </si>
  <si>
    <t>totally bleached, still has live tissue</t>
  </si>
  <si>
    <t>CIRR10</t>
  </si>
  <si>
    <t>poor viz but otherwise great</t>
  </si>
  <si>
    <t>moderately healthy, sampled pigmented part, DID NOT EXTRACT</t>
  </si>
  <si>
    <t>CIRR11</t>
  </si>
  <si>
    <t>moderately healthy, DID NOT EXTRACT</t>
  </si>
  <si>
    <t>fish bite marks, likely Pdam, DID NOT EXTRACT</t>
  </si>
  <si>
    <t>no picture</t>
  </si>
  <si>
    <t>moderately healthy</t>
  </si>
  <si>
    <t>CIRR12</t>
  </si>
  <si>
    <t>excellent</t>
  </si>
  <si>
    <t>Aitutaki</t>
  </si>
  <si>
    <t>CIAT13</t>
  </si>
  <si>
    <t>moderately bleached</t>
  </si>
  <si>
    <t>surface current</t>
  </si>
  <si>
    <t>too low and contaminated</t>
  </si>
  <si>
    <t>on Brian's transect, very small</t>
  </si>
  <si>
    <t>severely bleached</t>
  </si>
  <si>
    <t>CIAT14</t>
  </si>
  <si>
    <t>no corals, site completely destroyed by COTS</t>
  </si>
  <si>
    <t>CIAT15</t>
  </si>
  <si>
    <t>healthy appearance, though small</t>
  </si>
  <si>
    <t>great</t>
  </si>
  <si>
    <t>ug</t>
  </si>
  <si>
    <t>CIAT16</t>
  </si>
  <si>
    <t>small with fish bites, healthy looking</t>
  </si>
  <si>
    <t>white exterior/dark interior in crack in rock</t>
  </si>
  <si>
    <t>not all RNALater was decanted. TRIzol formed layer over RNALater after pre-chloroform spin</t>
  </si>
  <si>
    <t>Re-extract RNA and protein from all 6 samples</t>
  </si>
  <si>
    <t>CIAT17</t>
  </si>
  <si>
    <t>bleached exterior, pigmented interior</t>
  </si>
  <si>
    <t>normal pipgmentation but small</t>
  </si>
  <si>
    <t>conducted pre-chloroform spin @ 12,000 xg for 10 min @ 4C with this batch of 6 samples</t>
  </si>
  <si>
    <t xml:space="preserve">eluted into 30 ul DEPC-treated H20 and 50 ul eluent for RNA and DNA, respectively. </t>
  </si>
  <si>
    <t>104.1-2</t>
  </si>
  <si>
    <t>CIAT18</t>
  </si>
  <si>
    <t>small and mostly bleached, no mORF sequence</t>
  </si>
  <si>
    <t>consider NOT using, no backup sample exists</t>
  </si>
  <si>
    <t>CIAT19</t>
  </si>
  <si>
    <t>lensing of cold/murky water</t>
  </si>
  <si>
    <t>1,000 protein in PWII was split into two tues for all samples, one tube for SDS-PAGE and the other for 2-D</t>
  </si>
  <si>
    <t>CIAT20</t>
  </si>
  <si>
    <t>large, very pale but healthy</t>
  </si>
  <si>
    <t>huge surface swell</t>
  </si>
  <si>
    <t>too low</t>
  </si>
  <si>
    <t>spilled RNA precipitate prior to loading into column</t>
  </si>
  <si>
    <t>protein may have not been isolated due to high amount of skeleton, avoi skeletal pellet in future extractions</t>
  </si>
  <si>
    <t>CIAT21</t>
  </si>
  <si>
    <t>collected crown of thorns starfish (not coral)</t>
  </si>
  <si>
    <t>CIAT22</t>
  </si>
  <si>
    <t>rainy, surface swell</t>
  </si>
  <si>
    <t>mostly healthy (&lt;10% pale)</t>
  </si>
  <si>
    <t>do NOT use spin filter columns. Also, make sure to remove all residual RNALater</t>
  </si>
  <si>
    <t>left residual RNALater in tube, may have contributed to failure</t>
  </si>
  <si>
    <t>re-extract RNA and protein</t>
  </si>
  <si>
    <t>Palmerston</t>
  </si>
  <si>
    <t>CIPA23</t>
  </si>
  <si>
    <t>small but healthy</t>
  </si>
  <si>
    <t>used spin filter (likely the issue)</t>
  </si>
  <si>
    <t>re-extract RNA, DNA, and protein from backup sample</t>
  </si>
  <si>
    <t>try protein with RBCL antibody</t>
  </si>
  <si>
    <t>CIPA24</t>
  </si>
  <si>
    <t>100% bleached, still has extended polyps</t>
  </si>
  <si>
    <t>no spin filter, no visible pellet, a ton of skeleton caused solution (w/iso and HSS) to become cloudy</t>
  </si>
  <si>
    <t>re-extract RNA only from backup sample</t>
  </si>
  <si>
    <t>CIPA25</t>
  </si>
  <si>
    <t>bleached, though polyps extended in interior</t>
  </si>
  <si>
    <t>re-extract RNA and protein only from backup sample</t>
  </si>
  <si>
    <t>healthy appearance, no pictures</t>
  </si>
  <si>
    <t>CIPA26</t>
  </si>
  <si>
    <t>healthy, some fish bites, dark pigmentation</t>
  </si>
  <si>
    <t>re-extract RNA from backup sample</t>
  </si>
  <si>
    <t>pre-chloroform spin</t>
  </si>
  <si>
    <t>improves DNA quality</t>
  </si>
  <si>
    <t>moderately healthy, slightly pale</t>
  </si>
  <si>
    <t>mild current</t>
  </si>
  <si>
    <t>re-extract RNA and proteinfrom backup sample</t>
  </si>
  <si>
    <t>diluted entire sample to 20 ng/ul</t>
  </si>
  <si>
    <t>100% bleached, though still has live tissue, no mORF sequence</t>
  </si>
  <si>
    <t xml:space="preserve">swells </t>
  </si>
  <si>
    <t>re-extract RNA and protein from backup sample</t>
  </si>
  <si>
    <t>redo PCR at ULL</t>
  </si>
  <si>
    <t>100% bleached, though still has live tissue</t>
  </si>
  <si>
    <t>CIPA27</t>
  </si>
  <si>
    <t>severely bleached, only interior has pigmentation</t>
  </si>
  <si>
    <t>no RNA remains (must've spilled some)</t>
  </si>
  <si>
    <t>no concentrated DNA remains (all was diluted to 20 ng/ul)</t>
  </si>
  <si>
    <t>CIPA28</t>
  </si>
  <si>
    <t>healthy, moderate pigmentation, small</t>
  </si>
  <si>
    <t>mostly bleached, very pale, fish bites</t>
  </si>
  <si>
    <t>moderately healthy, small, fish bites</t>
  </si>
  <si>
    <t>CIPA29</t>
  </si>
  <si>
    <t>very healthy, dark pigmentation</t>
  </si>
  <si>
    <t>huge swells in shallows</t>
  </si>
  <si>
    <t>in Taiwan?</t>
  </si>
  <si>
    <t>very pale, cream colored, mostly bleached</t>
  </si>
  <si>
    <t>protein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</si>
</sst>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charset val="136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2"/>
      <name val="Times New Roman"/>
      <family val="1"/>
    </font>
    <font>
      <i/>
      <sz val="12"/>
      <color rgb="FFFF0000"/>
      <name val="Times New Roman"/>
      <family val="1"/>
    </font>
    <font>
      <u/>
      <sz val="12"/>
      <color theme="10"/>
      <name val="Times New Roman"/>
      <family val="2"/>
    </font>
    <font>
      <sz val="12"/>
      <color rgb="FF000000"/>
      <name val="Times New Roman"/>
      <family val="2"/>
    </font>
    <font>
      <b/>
      <sz val="12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0" applyFont="1" applyFill="1"/>
    <xf numFmtId="0" fontId="0" fillId="0" borderId="0" xfId="0" applyFont="1" applyFill="1"/>
    <xf numFmtId="0" fontId="0" fillId="0" borderId="0" xfId="0" applyFill="1"/>
    <xf numFmtId="16" fontId="0" fillId="0" borderId="0" xfId="0" applyNumberFormat="1" applyFont="1" applyFill="1"/>
    <xf numFmtId="20" fontId="0" fillId="0" borderId="0" xfId="0" applyNumberFormat="1" applyFont="1" applyFill="1"/>
    <xf numFmtId="0" fontId="4" fillId="0" borderId="0" xfId="0" applyFont="1" applyFill="1"/>
    <xf numFmtId="17" fontId="0" fillId="0" borderId="0" xfId="0" applyNumberFormat="1" applyFill="1"/>
    <xf numFmtId="17" fontId="0" fillId="0" borderId="0" xfId="0" applyNumberFormat="1" applyFill="1" applyBorder="1"/>
    <xf numFmtId="20" fontId="0" fillId="0" borderId="0" xfId="0" applyNumberFormat="1" applyFill="1"/>
    <xf numFmtId="14" fontId="0" fillId="0" borderId="0" xfId="0" applyNumberFormat="1" applyFill="1"/>
    <xf numFmtId="0" fontId="0" fillId="0" borderId="0" xfId="0" applyFill="1" applyBorder="1"/>
    <xf numFmtId="16" fontId="0" fillId="0" borderId="0" xfId="0" applyNumberFormat="1" applyFill="1"/>
    <xf numFmtId="0" fontId="7" fillId="0" borderId="0" xfId="0" applyFont="1" applyFill="1"/>
    <xf numFmtId="14" fontId="7" fillId="0" borderId="0" xfId="0" applyNumberFormat="1" applyFont="1" applyFill="1"/>
    <xf numFmtId="20" fontId="7" fillId="0" borderId="0" xfId="0" applyNumberFormat="1" applyFont="1" applyFill="1"/>
    <xf numFmtId="0" fontId="0" fillId="0" borderId="0" xfId="0" applyFont="1" applyFill="1" applyBorder="1"/>
    <xf numFmtId="0" fontId="0" fillId="0" borderId="1" xfId="0" applyFont="1" applyFill="1" applyBorder="1"/>
    <xf numFmtId="0" fontId="0" fillId="0" borderId="0" xfId="0" applyNumberFormat="1" applyFill="1"/>
    <xf numFmtId="0" fontId="0" fillId="0" borderId="1" xfId="0" applyFill="1" applyBorder="1"/>
    <xf numFmtId="14" fontId="0" fillId="0" borderId="1" xfId="0" applyNumberFormat="1" applyFill="1" applyBorder="1"/>
    <xf numFmtId="20" fontId="0" fillId="0" borderId="1" xfId="0" applyNumberFormat="1" applyFill="1" applyBorder="1"/>
    <xf numFmtId="0" fontId="7" fillId="0" borderId="1" xfId="0" applyFont="1" applyFill="1" applyBorder="1"/>
    <xf numFmtId="0" fontId="8" fillId="0" borderId="0" xfId="0" applyFont="1" applyFill="1" applyBorder="1"/>
    <xf numFmtId="0" fontId="1" fillId="0" borderId="1" xfId="0" applyFont="1" applyFill="1" applyBorder="1"/>
    <xf numFmtId="0" fontId="2" fillId="0" borderId="0" xfId="0" applyFont="1" applyFill="1" applyBorder="1"/>
    <xf numFmtId="14" fontId="0" fillId="0" borderId="0" xfId="0" applyNumberFormat="1" applyFont="1" applyFill="1"/>
    <xf numFmtId="0" fontId="5" fillId="0" borderId="0" xfId="0" applyFont="1" applyFill="1"/>
    <xf numFmtId="0" fontId="3" fillId="0" borderId="1" xfId="0" applyFont="1" applyFill="1" applyBorder="1"/>
    <xf numFmtId="16" fontId="0" fillId="0" borderId="1" xfId="0" applyNumberFormat="1" applyFont="1" applyFill="1" applyBorder="1"/>
    <xf numFmtId="0" fontId="4" fillId="0" borderId="1" xfId="0" applyFont="1" applyFill="1" applyBorder="1"/>
    <xf numFmtId="17" fontId="0" fillId="0" borderId="1" xfId="0" applyNumberFormat="1" applyFill="1" applyBorder="1"/>
    <xf numFmtId="0" fontId="6" fillId="0" borderId="0" xfId="1" applyFill="1"/>
    <xf numFmtId="0" fontId="0" fillId="0" borderId="0" xfId="0" applyFont="1" applyFill="1" applyAlignment="1">
      <alignment horizontal="left"/>
    </xf>
    <xf numFmtId="14" fontId="0" fillId="0" borderId="0" xfId="0" applyNumberFormat="1" applyFill="1" applyBorder="1"/>
    <xf numFmtId="20" fontId="0" fillId="0" borderId="0" xfId="0" applyNumberFormat="1" applyFill="1" applyBorder="1"/>
    <xf numFmtId="0" fontId="7" fillId="0" borderId="0" xfId="0" applyFont="1" applyFill="1" applyBorder="1"/>
    <xf numFmtId="0" fontId="0" fillId="0" borderId="0" xfId="0" applyNumberFormat="1" applyFill="1" applyBorder="1"/>
    <xf numFmtId="0" fontId="0" fillId="0" borderId="1" xfId="0" applyNumberFormat="1" applyFill="1" applyBorder="1"/>
    <xf numFmtId="0" fontId="8" fillId="0" borderId="0" xfId="0" applyFont="1" applyFill="1"/>
    <xf numFmtId="0" fontId="8" fillId="0" borderId="1" xfId="0" applyFont="1" applyFill="1" applyBorder="1"/>
    <xf numFmtId="17" fontId="7" fillId="0" borderId="0" xfId="0" applyNumberFormat="1" applyFon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ubanerd69/Documents/Living%20Oceans%20Foundation/data/LOF%20fellowship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ies"/>
      <sheetName val="TRIZOL v. RNALater"/>
      <sheetName val="Australs Cooks"/>
      <sheetName val="AC DNA qPCRs"/>
      <sheetName val="Austral Cooks cDNA qPCRs"/>
      <sheetName val="Australs Cooks genotype"/>
      <sheetName val="Fiji"/>
      <sheetName val="Fiji  qPCRs"/>
      <sheetName val="Tonga"/>
      <sheetName val="Tonga qPCRs"/>
      <sheetName val="New Caledonia"/>
      <sheetName val="NC qPCRs"/>
      <sheetName val="GBR"/>
      <sheetName val="Solomons"/>
      <sheetName val="Solomons qPCRs"/>
      <sheetName val="Palau"/>
      <sheetName val="Palau qPCRs"/>
      <sheetName val="Chagos"/>
      <sheetName val="LiCor"/>
      <sheetName val="Maldives"/>
    </sheetNames>
    <sheetDataSet>
      <sheetData sheetId="0"/>
      <sheetData sheetId="1"/>
      <sheetData sheetId="2">
        <row r="324">
          <cell r="G324" t="str">
            <v>P. damicornis</v>
          </cell>
          <cell r="H324">
            <v>92.307692307692307</v>
          </cell>
          <cell r="I324">
            <v>94.444444444444443</v>
          </cell>
          <cell r="K324">
            <v>13.333333333333334</v>
          </cell>
        </row>
        <row r="325">
          <cell r="G325" t="str">
            <v>P. acuta</v>
          </cell>
          <cell r="H325">
            <v>7.6923076923076934</v>
          </cell>
          <cell r="I325">
            <v>0</v>
          </cell>
          <cell r="K325">
            <v>60</v>
          </cell>
          <cell r="L325">
            <v>91.666666666666657</v>
          </cell>
          <cell r="M325">
            <v>53.846153846153847</v>
          </cell>
        </row>
        <row r="326">
          <cell r="I326">
            <v>5.5555555555555571</v>
          </cell>
          <cell r="J326">
            <v>7.1428571428571388</v>
          </cell>
          <cell r="K326">
            <v>26.666666666666668</v>
          </cell>
          <cell r="L326">
            <v>8.3333333333333321</v>
          </cell>
          <cell r="M326">
            <v>23.076923076923077</v>
          </cell>
        </row>
        <row r="327">
          <cell r="J327">
            <v>92.857142857142861</v>
          </cell>
          <cell r="M327">
            <v>0</v>
          </cell>
        </row>
        <row r="328">
          <cell r="M328">
            <v>23.076923076923077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8"/>
  <sheetViews>
    <sheetView tabSelected="1" workbookViewId="0">
      <pane ySplit="1" topLeftCell="A162" activePane="bottomLeft" state="frozen"/>
      <selection activeCell="Y1" sqref="Y1"/>
      <selection pane="bottomLeft" activeCell="H204" sqref="H204"/>
    </sheetView>
  </sheetViews>
  <sheetFormatPr baseColWidth="10" defaultRowHeight="15" x14ac:dyDescent="0"/>
  <cols>
    <col min="1" max="5" width="10.83203125" style="3"/>
    <col min="6" max="6" width="25.6640625" style="3" customWidth="1"/>
    <col min="7" max="7" width="54.83203125" style="3" customWidth="1"/>
    <col min="8" max="8" width="10.83203125" style="3"/>
    <col min="9" max="9" width="13.33203125" style="3" bestFit="1" customWidth="1"/>
    <col min="10" max="10" width="6.5" style="3" bestFit="1" customWidth="1"/>
    <col min="11" max="11" width="12.6640625" style="3" bestFit="1" customWidth="1"/>
    <col min="12" max="12" width="8" style="3" bestFit="1" customWidth="1"/>
    <col min="13" max="13" width="6" style="3" bestFit="1" customWidth="1"/>
    <col min="14" max="14" width="34.6640625" style="3" bestFit="1" customWidth="1"/>
    <col min="15" max="15" width="10.83203125" style="3"/>
    <col min="16" max="16" width="14.33203125" style="3" bestFit="1" customWidth="1"/>
    <col min="17" max="17" width="14" style="3" bestFit="1" customWidth="1"/>
    <col min="18" max="18" width="16.5" style="3" bestFit="1" customWidth="1"/>
    <col min="19" max="24" width="9.1640625" style="3" customWidth="1"/>
    <col min="25" max="16384" width="10.83203125" style="3"/>
  </cols>
  <sheetData>
    <row r="1" spans="1:44">
      <c r="A1" s="2" t="s">
        <v>0</v>
      </c>
      <c r="B1" s="2" t="s">
        <v>1</v>
      </c>
      <c r="C1" s="2" t="s">
        <v>2</v>
      </c>
      <c r="D1" s="24" t="s">
        <v>3</v>
      </c>
      <c r="E1" s="24" t="s">
        <v>4</v>
      </c>
      <c r="F1" s="25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7</v>
      </c>
      <c r="Z1" s="3" t="s">
        <v>24</v>
      </c>
      <c r="AA1" s="3" t="s">
        <v>19</v>
      </c>
      <c r="AB1" s="3" t="s">
        <v>20</v>
      </c>
      <c r="AC1" s="3" t="s">
        <v>25</v>
      </c>
      <c r="AD1" s="3" t="s">
        <v>22</v>
      </c>
      <c r="AE1" s="3" t="s">
        <v>26</v>
      </c>
      <c r="AF1" s="3" t="s">
        <v>7</v>
      </c>
      <c r="AG1" s="3" t="s">
        <v>325</v>
      </c>
    </row>
    <row r="2" spans="1:44">
      <c r="A2" s="2">
        <v>1.1000000000000001</v>
      </c>
      <c r="B2" s="2" t="s">
        <v>32</v>
      </c>
      <c r="C2" s="2" t="s">
        <v>33</v>
      </c>
      <c r="D2" s="3">
        <v>-23.860499999999998</v>
      </c>
      <c r="E2" s="3">
        <v>-147.71510000000001</v>
      </c>
      <c r="F2" s="1" t="s">
        <v>34</v>
      </c>
      <c r="G2" s="2" t="s">
        <v>35</v>
      </c>
      <c r="H2" s="26">
        <v>41375</v>
      </c>
      <c r="I2" s="5">
        <v>0.41666666666666669</v>
      </c>
      <c r="J2" s="2">
        <v>25.7</v>
      </c>
      <c r="K2" s="2">
        <v>25.7</v>
      </c>
      <c r="L2" s="6">
        <v>35.700000000000003</v>
      </c>
      <c r="M2" s="2">
        <v>14</v>
      </c>
      <c r="N2" s="2" t="s">
        <v>36</v>
      </c>
      <c r="O2" s="2">
        <v>50</v>
      </c>
      <c r="P2" s="2">
        <v>9.1</v>
      </c>
      <c r="Q2" s="2">
        <v>40.799999999999997</v>
      </c>
      <c r="R2" s="2" t="s">
        <v>37</v>
      </c>
      <c r="S2" s="3" t="s">
        <v>38</v>
      </c>
      <c r="Z2" s="3" t="s">
        <v>38</v>
      </c>
    </row>
    <row r="3" spans="1:44">
      <c r="A3" s="2">
        <v>2.1</v>
      </c>
      <c r="B3" s="2" t="s">
        <v>32</v>
      </c>
      <c r="C3" s="2" t="s">
        <v>39</v>
      </c>
      <c r="D3" s="3">
        <v>-23.8902</v>
      </c>
      <c r="E3" s="3">
        <v>-147.7208</v>
      </c>
      <c r="F3" s="1" t="s">
        <v>40</v>
      </c>
      <c r="G3" s="2" t="s">
        <v>41</v>
      </c>
      <c r="H3" s="26">
        <v>41375</v>
      </c>
      <c r="I3" s="5">
        <v>0.67708333333333337</v>
      </c>
      <c r="J3" s="2">
        <v>25.4</v>
      </c>
      <c r="K3" s="2">
        <v>25.7</v>
      </c>
      <c r="L3" s="6">
        <v>35.700000000000003</v>
      </c>
      <c r="M3" s="2">
        <v>11.5</v>
      </c>
      <c r="N3" s="2" t="s">
        <v>43</v>
      </c>
      <c r="O3" s="2">
        <v>35</v>
      </c>
      <c r="P3" s="2">
        <v>7</v>
      </c>
      <c r="Q3" s="2">
        <v>29.1</v>
      </c>
      <c r="R3" s="2" t="s">
        <v>37</v>
      </c>
      <c r="S3" s="3" t="s">
        <v>38</v>
      </c>
      <c r="Y3" s="7">
        <v>41548</v>
      </c>
      <c r="Z3" s="3">
        <v>123.5</v>
      </c>
      <c r="AA3" s="3">
        <v>2.0099999999999998</v>
      </c>
      <c r="AB3" s="3">
        <v>1.22</v>
      </c>
      <c r="AC3" s="3">
        <f>Z3*50/1000</f>
        <v>6.1749999999999998</v>
      </c>
      <c r="AD3" s="3" t="s">
        <v>44</v>
      </c>
      <c r="AF3" s="7">
        <v>41548</v>
      </c>
      <c r="AG3" s="3" t="s">
        <v>45</v>
      </c>
    </row>
    <row r="4" spans="1:44">
      <c r="A4" s="2">
        <v>3.1</v>
      </c>
      <c r="B4" s="2" t="s">
        <v>32</v>
      </c>
      <c r="C4" s="2" t="s">
        <v>39</v>
      </c>
      <c r="D4" s="3">
        <v>-23.831800000000001</v>
      </c>
      <c r="E4" s="3">
        <v>-147.6574</v>
      </c>
      <c r="F4" s="1" t="s">
        <v>40</v>
      </c>
      <c r="G4" s="2" t="s">
        <v>46</v>
      </c>
      <c r="H4" s="26">
        <v>41375</v>
      </c>
      <c r="I4" s="5">
        <v>0.67708333333333337</v>
      </c>
      <c r="J4" s="2">
        <v>25.4</v>
      </c>
      <c r="K4" s="2">
        <v>25.7</v>
      </c>
      <c r="L4" s="6">
        <v>35.700000000000003</v>
      </c>
      <c r="M4" s="2">
        <v>11.5</v>
      </c>
      <c r="N4" s="2" t="s">
        <v>43</v>
      </c>
      <c r="O4" s="2">
        <v>35</v>
      </c>
      <c r="P4" s="2">
        <v>13.2</v>
      </c>
      <c r="Q4" s="2">
        <v>107.9</v>
      </c>
      <c r="R4" s="2" t="s">
        <v>37</v>
      </c>
      <c r="S4" s="3">
        <v>105</v>
      </c>
      <c r="T4" s="3">
        <v>2.16</v>
      </c>
      <c r="U4" s="3">
        <v>0.77</v>
      </c>
      <c r="V4" s="3">
        <f>105*30/1000</f>
        <v>3.15</v>
      </c>
      <c r="W4" s="3" t="s">
        <v>47</v>
      </c>
      <c r="X4" s="3">
        <v>200</v>
      </c>
      <c r="Y4" s="7">
        <v>41548</v>
      </c>
      <c r="Z4" s="3">
        <v>186.5</v>
      </c>
      <c r="AA4" s="3">
        <v>1.97</v>
      </c>
      <c r="AB4" s="3">
        <v>1.03</v>
      </c>
      <c r="AC4" s="3">
        <f>186.5*50/1000</f>
        <v>9.3249999999999993</v>
      </c>
      <c r="AD4" s="3" t="s">
        <v>44</v>
      </c>
      <c r="AE4" s="3">
        <f>V4/AC4</f>
        <v>0.33780160857908847</v>
      </c>
      <c r="AF4" s="7">
        <v>41548</v>
      </c>
      <c r="AG4" s="3" t="s">
        <v>45</v>
      </c>
      <c r="AM4" s="3" t="s">
        <v>48</v>
      </c>
      <c r="AR4" s="10">
        <v>41507</v>
      </c>
    </row>
    <row r="5" spans="1:44">
      <c r="A5" s="2">
        <v>4.0999999999999996</v>
      </c>
      <c r="B5" s="2" t="s">
        <v>32</v>
      </c>
      <c r="C5" s="2" t="s">
        <v>49</v>
      </c>
      <c r="D5" s="3">
        <v>-23.828182699999999</v>
      </c>
      <c r="E5" s="3">
        <v>-147.59011989999999</v>
      </c>
      <c r="F5" s="1" t="s">
        <v>40</v>
      </c>
      <c r="G5" s="2" t="s">
        <v>50</v>
      </c>
      <c r="H5" s="26">
        <v>41376</v>
      </c>
      <c r="I5" s="5">
        <v>0.39583333333333331</v>
      </c>
      <c r="J5" s="2">
        <v>25</v>
      </c>
      <c r="K5" s="2">
        <v>25.5</v>
      </c>
      <c r="L5" s="6">
        <v>35.6</v>
      </c>
      <c r="M5" s="2">
        <v>16</v>
      </c>
      <c r="N5" s="2" t="s">
        <v>51</v>
      </c>
      <c r="O5" s="2">
        <v>50</v>
      </c>
      <c r="P5" s="2">
        <v>7</v>
      </c>
      <c r="Q5" s="2">
        <v>23.8</v>
      </c>
      <c r="R5" s="2" t="s">
        <v>37</v>
      </c>
      <c r="S5" s="3" t="s">
        <v>38</v>
      </c>
      <c r="Y5" s="7">
        <v>41548</v>
      </c>
      <c r="Z5" s="3">
        <v>29.5</v>
      </c>
      <c r="AA5" s="3">
        <v>2.0099999999999998</v>
      </c>
      <c r="AB5" s="3">
        <v>0.4</v>
      </c>
      <c r="AC5" s="3">
        <f>29.5*50/1000</f>
        <v>1.4750000000000001</v>
      </c>
      <c r="AD5" s="3" t="s">
        <v>44</v>
      </c>
      <c r="AF5" s="7">
        <v>41548</v>
      </c>
      <c r="AG5" s="3" t="s">
        <v>45</v>
      </c>
      <c r="AM5" s="3" t="s">
        <v>52</v>
      </c>
    </row>
    <row r="6" spans="1:44">
      <c r="A6" s="2">
        <v>4.2</v>
      </c>
      <c r="B6" s="2" t="s">
        <v>32</v>
      </c>
      <c r="C6" s="2" t="s">
        <v>49</v>
      </c>
      <c r="D6" s="3">
        <v>-23.828182699999999</v>
      </c>
      <c r="E6" s="3">
        <v>-147.59011989999999</v>
      </c>
      <c r="F6" s="2"/>
      <c r="G6" s="2" t="s">
        <v>50</v>
      </c>
      <c r="H6" s="26">
        <v>41376</v>
      </c>
      <c r="I6" s="5">
        <v>0.39583333333333331</v>
      </c>
      <c r="J6" s="2">
        <v>25</v>
      </c>
      <c r="K6" s="2">
        <v>25.5</v>
      </c>
      <c r="L6" s="6">
        <v>35.6</v>
      </c>
      <c r="M6" s="2">
        <v>16</v>
      </c>
      <c r="N6" s="2" t="s">
        <v>51</v>
      </c>
      <c r="O6" s="2">
        <v>50</v>
      </c>
      <c r="P6" s="2">
        <v>7</v>
      </c>
      <c r="Q6" s="2">
        <v>23.8</v>
      </c>
      <c r="R6" s="2" t="s">
        <v>37</v>
      </c>
      <c r="S6" s="3">
        <v>44</v>
      </c>
      <c r="T6" s="3">
        <v>2.06</v>
      </c>
      <c r="U6" s="3">
        <v>0.47</v>
      </c>
      <c r="V6" s="3">
        <f>30*44/1000</f>
        <v>1.32</v>
      </c>
      <c r="W6" s="3" t="s">
        <v>47</v>
      </c>
      <c r="X6" s="3">
        <v>200</v>
      </c>
      <c r="Y6" s="7">
        <v>41640</v>
      </c>
      <c r="Z6" s="3">
        <v>44.3</v>
      </c>
      <c r="AA6" s="3">
        <v>2</v>
      </c>
      <c r="AB6" s="3">
        <v>0.09</v>
      </c>
      <c r="AC6" s="3">
        <f>50*44.3/1000</f>
        <v>2.2149999999999999</v>
      </c>
      <c r="AD6" s="3" t="s">
        <v>44</v>
      </c>
      <c r="AE6" s="3">
        <f>V6/AC6</f>
        <v>0.59593679458239279</v>
      </c>
      <c r="AF6" s="7">
        <v>41640</v>
      </c>
      <c r="AG6" s="3" t="s">
        <v>53</v>
      </c>
    </row>
    <row r="7" spans="1:44">
      <c r="A7" s="2">
        <v>5.0999999999999996</v>
      </c>
      <c r="B7" s="2" t="s">
        <v>32</v>
      </c>
      <c r="C7" s="2" t="s">
        <v>54</v>
      </c>
      <c r="D7" s="3">
        <v>-23.8962</v>
      </c>
      <c r="E7" s="3">
        <v>-147.7123</v>
      </c>
      <c r="F7" s="1" t="s">
        <v>40</v>
      </c>
      <c r="G7" s="2"/>
      <c r="H7" s="26">
        <v>41376</v>
      </c>
      <c r="I7" s="5">
        <v>0.67708333333333337</v>
      </c>
      <c r="J7" s="2">
        <v>25</v>
      </c>
      <c r="K7" s="2">
        <v>25.6</v>
      </c>
      <c r="L7" s="6">
        <v>35.700000000000003</v>
      </c>
      <c r="M7" s="2">
        <v>14</v>
      </c>
      <c r="N7" s="2"/>
      <c r="O7" s="2">
        <v>20</v>
      </c>
      <c r="P7" s="2">
        <v>5.2</v>
      </c>
      <c r="Q7" s="2">
        <v>14</v>
      </c>
      <c r="R7" s="2" t="s">
        <v>37</v>
      </c>
      <c r="S7" s="3" t="s">
        <v>38</v>
      </c>
      <c r="Y7" s="7">
        <v>41548</v>
      </c>
      <c r="Z7" s="3">
        <v>23.5</v>
      </c>
      <c r="AA7" s="3">
        <v>2.08</v>
      </c>
      <c r="AB7" s="3">
        <v>0.39</v>
      </c>
      <c r="AC7" s="3">
        <f>23.5*50/1000</f>
        <v>1.175</v>
      </c>
      <c r="AD7" s="3" t="s">
        <v>44</v>
      </c>
      <c r="AF7" s="7">
        <v>41548</v>
      </c>
      <c r="AG7" s="3" t="s">
        <v>45</v>
      </c>
      <c r="AM7" s="3" t="s">
        <v>55</v>
      </c>
    </row>
    <row r="8" spans="1:44">
      <c r="A8" s="2">
        <v>5.2</v>
      </c>
      <c r="B8" s="2" t="s">
        <v>32</v>
      </c>
      <c r="C8" s="2" t="s">
        <v>54</v>
      </c>
      <c r="D8" s="3">
        <v>-23.8962</v>
      </c>
      <c r="E8" s="3">
        <v>-147.7123</v>
      </c>
      <c r="F8" s="1" t="s">
        <v>40</v>
      </c>
      <c r="G8" s="2"/>
      <c r="H8" s="26">
        <v>41376</v>
      </c>
      <c r="I8" s="5">
        <v>0.67708333333333337</v>
      </c>
      <c r="J8" s="2">
        <v>25</v>
      </c>
      <c r="K8" s="2">
        <v>25.6</v>
      </c>
      <c r="L8" s="6">
        <v>35.700000000000003</v>
      </c>
      <c r="M8" s="2">
        <v>14</v>
      </c>
      <c r="N8" s="2"/>
      <c r="O8" s="2">
        <v>20</v>
      </c>
      <c r="P8" s="2">
        <v>5.2</v>
      </c>
      <c r="Q8" s="2">
        <v>14</v>
      </c>
      <c r="R8" s="2" t="s">
        <v>37</v>
      </c>
      <c r="S8" s="3">
        <v>62.6</v>
      </c>
      <c r="T8" s="3">
        <v>2.16</v>
      </c>
      <c r="U8" s="3">
        <v>0.38</v>
      </c>
      <c r="V8" s="3">
        <f>62.6*30/1000</f>
        <v>1.8779999999999999</v>
      </c>
      <c r="W8" s="3" t="s">
        <v>47</v>
      </c>
      <c r="X8" s="3">
        <v>200</v>
      </c>
      <c r="Y8" s="7">
        <v>41640</v>
      </c>
      <c r="Z8" s="3">
        <v>39.4</v>
      </c>
      <c r="AA8" s="3">
        <v>1.87</v>
      </c>
      <c r="AB8" s="3">
        <v>0.25</v>
      </c>
      <c r="AC8" s="3">
        <f>50*39.4/1000</f>
        <v>1.97</v>
      </c>
      <c r="AD8" s="3" t="s">
        <v>44</v>
      </c>
      <c r="AE8" s="3">
        <f>V8/AC8</f>
        <v>0.95329949238578671</v>
      </c>
      <c r="AF8" s="7">
        <v>41640</v>
      </c>
      <c r="AG8" s="3" t="s">
        <v>53</v>
      </c>
    </row>
    <row r="9" spans="1:44">
      <c r="A9" s="2">
        <v>6.1</v>
      </c>
      <c r="B9" s="2" t="s">
        <v>32</v>
      </c>
      <c r="C9" s="2" t="s">
        <v>54</v>
      </c>
      <c r="D9" s="3">
        <v>-23.8962</v>
      </c>
      <c r="E9" s="3">
        <v>-147.7123</v>
      </c>
      <c r="F9" s="1" t="s">
        <v>40</v>
      </c>
      <c r="G9" s="2" t="s">
        <v>56</v>
      </c>
      <c r="H9" s="26">
        <v>41376</v>
      </c>
      <c r="I9" s="5">
        <v>0.68402777777777779</v>
      </c>
      <c r="J9" s="2">
        <v>24</v>
      </c>
      <c r="K9" s="2">
        <v>25.6</v>
      </c>
      <c r="L9" s="6">
        <v>35.700000000000003</v>
      </c>
      <c r="M9" s="2">
        <v>13</v>
      </c>
      <c r="N9" s="2"/>
      <c r="O9" s="2">
        <v>20</v>
      </c>
      <c r="P9" s="2">
        <v>4.8</v>
      </c>
      <c r="Q9" s="2">
        <v>16.7</v>
      </c>
      <c r="R9" s="2" t="s">
        <v>37</v>
      </c>
      <c r="S9" s="3" t="s">
        <v>38</v>
      </c>
      <c r="Y9" s="7">
        <v>41548</v>
      </c>
      <c r="Z9" s="3">
        <v>37</v>
      </c>
      <c r="AA9" s="3">
        <v>2.0299999999999998</v>
      </c>
      <c r="AB9" s="3">
        <v>1.02</v>
      </c>
      <c r="AC9" s="3">
        <f>37*50/1000</f>
        <v>1.85</v>
      </c>
      <c r="AD9" s="3" t="s">
        <v>44</v>
      </c>
      <c r="AF9" s="7">
        <v>41548</v>
      </c>
      <c r="AG9" s="3" t="s">
        <v>45</v>
      </c>
      <c r="AM9" s="3" t="s">
        <v>57</v>
      </c>
      <c r="AP9" s="3" t="s">
        <v>58</v>
      </c>
    </row>
    <row r="10" spans="1:44">
      <c r="A10" s="2">
        <v>6.2</v>
      </c>
      <c r="B10" s="2" t="s">
        <v>32</v>
      </c>
      <c r="C10" s="2" t="s">
        <v>54</v>
      </c>
      <c r="D10" s="3">
        <v>-23.8962</v>
      </c>
      <c r="E10" s="3">
        <v>-147.7123</v>
      </c>
      <c r="F10" s="1" t="s">
        <v>40</v>
      </c>
      <c r="G10" s="2" t="s">
        <v>56</v>
      </c>
      <c r="H10" s="26">
        <v>41376</v>
      </c>
      <c r="I10" s="5">
        <v>0.68402777777777779</v>
      </c>
      <c r="J10" s="2">
        <v>24</v>
      </c>
      <c r="K10" s="2">
        <v>25.6</v>
      </c>
      <c r="L10" s="6">
        <v>35.700000000000003</v>
      </c>
      <c r="M10" s="2">
        <v>13</v>
      </c>
      <c r="N10" s="2"/>
      <c r="O10" s="2">
        <v>20</v>
      </c>
      <c r="P10" s="2">
        <v>4.8</v>
      </c>
      <c r="Q10" s="2">
        <v>16.7</v>
      </c>
      <c r="R10" s="2" t="s">
        <v>37</v>
      </c>
      <c r="S10" s="3" t="s">
        <v>59</v>
      </c>
      <c r="Y10" s="7">
        <v>41640</v>
      </c>
      <c r="Z10" s="3">
        <v>22.6</v>
      </c>
      <c r="AA10" s="3">
        <v>2.06</v>
      </c>
      <c r="AB10" s="3">
        <v>0.42</v>
      </c>
      <c r="AC10" s="3">
        <f>22.6*50/1000</f>
        <v>1.1299999999999999</v>
      </c>
      <c r="AD10" s="3" t="s">
        <v>60</v>
      </c>
      <c r="AF10" s="7">
        <v>41640</v>
      </c>
      <c r="AG10" s="3" t="s">
        <v>53</v>
      </c>
    </row>
    <row r="11" spans="1:44">
      <c r="A11" s="2">
        <v>7.1</v>
      </c>
      <c r="B11" s="2" t="s">
        <v>32</v>
      </c>
      <c r="C11" s="2" t="s">
        <v>54</v>
      </c>
      <c r="D11" s="3">
        <v>-23.8962</v>
      </c>
      <c r="E11" s="3">
        <v>-147.7123</v>
      </c>
      <c r="F11" s="1" t="s">
        <v>40</v>
      </c>
      <c r="G11" s="2"/>
      <c r="H11" s="26">
        <v>41376</v>
      </c>
      <c r="I11" s="5">
        <v>0.69097222222222221</v>
      </c>
      <c r="J11" s="2">
        <v>24</v>
      </c>
      <c r="K11" s="2">
        <v>25.6</v>
      </c>
      <c r="L11" s="6">
        <v>35.700000000000003</v>
      </c>
      <c r="M11" s="2">
        <v>13</v>
      </c>
      <c r="N11" s="2"/>
      <c r="O11" s="2">
        <v>20</v>
      </c>
      <c r="P11" s="2">
        <v>4.4000000000000004</v>
      </c>
      <c r="Q11" s="2">
        <v>12.1</v>
      </c>
      <c r="R11" s="2" t="s">
        <v>37</v>
      </c>
      <c r="S11" s="3" t="s">
        <v>38</v>
      </c>
      <c r="Y11" s="7">
        <v>41548</v>
      </c>
      <c r="Z11" s="3">
        <v>36.5</v>
      </c>
      <c r="AA11" s="3">
        <v>2</v>
      </c>
      <c r="AB11" s="3">
        <v>1.32</v>
      </c>
      <c r="AC11" s="3">
        <f>36.5*50/1000</f>
        <v>1.825</v>
      </c>
      <c r="AD11" s="3" t="s">
        <v>44</v>
      </c>
      <c r="AF11" s="7">
        <v>41548</v>
      </c>
      <c r="AG11" s="3" t="s">
        <v>45</v>
      </c>
      <c r="AM11" s="3" t="s">
        <v>61</v>
      </c>
      <c r="AP11" s="3" t="s">
        <v>62</v>
      </c>
      <c r="AR11" s="3" t="s">
        <v>63</v>
      </c>
    </row>
    <row r="12" spans="1:44">
      <c r="A12" s="2">
        <v>7.2</v>
      </c>
      <c r="B12" s="2" t="s">
        <v>32</v>
      </c>
      <c r="C12" s="2" t="s">
        <v>54</v>
      </c>
      <c r="D12" s="3">
        <v>-23.8962</v>
      </c>
      <c r="E12" s="3">
        <v>-147.7123</v>
      </c>
      <c r="F12" s="1" t="s">
        <v>40</v>
      </c>
      <c r="G12" s="2"/>
      <c r="H12" s="26">
        <v>41376</v>
      </c>
      <c r="I12" s="5">
        <v>0.69097222222222221</v>
      </c>
      <c r="J12" s="2">
        <v>24</v>
      </c>
      <c r="K12" s="2">
        <v>25.6</v>
      </c>
      <c r="L12" s="6">
        <v>35.700000000000003</v>
      </c>
      <c r="M12" s="2">
        <v>13</v>
      </c>
      <c r="N12" s="2"/>
      <c r="O12" s="2">
        <v>20</v>
      </c>
      <c r="P12" s="2">
        <v>4.4000000000000004</v>
      </c>
      <c r="Q12" s="2">
        <v>12.1</v>
      </c>
      <c r="R12" s="2" t="s">
        <v>37</v>
      </c>
      <c r="S12" s="3">
        <v>15.6</v>
      </c>
      <c r="T12" s="3">
        <v>2.1800000000000002</v>
      </c>
      <c r="U12" s="3">
        <v>0.19</v>
      </c>
      <c r="V12" s="3">
        <f>15.6*30/1000</f>
        <v>0.46800000000000003</v>
      </c>
      <c r="Y12" s="7">
        <v>41640</v>
      </c>
      <c r="Z12" s="3">
        <v>7</v>
      </c>
      <c r="AA12" s="3">
        <v>2.3199999999999998</v>
      </c>
      <c r="AB12" s="3">
        <v>0.24</v>
      </c>
      <c r="AC12" s="3">
        <f>7*50/1000</f>
        <v>0.35</v>
      </c>
      <c r="AD12" s="3" t="s">
        <v>64</v>
      </c>
      <c r="AE12" s="3">
        <f>V12/AC12</f>
        <v>1.3371428571428574</v>
      </c>
      <c r="AF12" s="7">
        <v>41640</v>
      </c>
      <c r="AG12" s="3" t="s">
        <v>53</v>
      </c>
    </row>
    <row r="13" spans="1:44">
      <c r="A13" s="2">
        <v>8.1</v>
      </c>
      <c r="B13" s="2" t="s">
        <v>32</v>
      </c>
      <c r="C13" s="2" t="s">
        <v>54</v>
      </c>
      <c r="D13" s="3">
        <v>-23.8962</v>
      </c>
      <c r="E13" s="3">
        <v>-147.7123</v>
      </c>
      <c r="F13" s="2" t="s">
        <v>65</v>
      </c>
      <c r="G13" s="2" t="s">
        <v>66</v>
      </c>
      <c r="H13" s="26">
        <v>41376</v>
      </c>
      <c r="I13" s="5">
        <v>0.69444444444444453</v>
      </c>
      <c r="J13" s="2">
        <v>24</v>
      </c>
      <c r="K13" s="2">
        <v>25.6</v>
      </c>
      <c r="L13" s="6">
        <v>35.700000000000003</v>
      </c>
      <c r="M13" s="2">
        <v>13</v>
      </c>
      <c r="N13" s="2" t="s">
        <v>67</v>
      </c>
      <c r="O13" s="2">
        <v>20</v>
      </c>
      <c r="P13" s="2" t="s">
        <v>42</v>
      </c>
      <c r="Q13" s="2" t="s">
        <v>42</v>
      </c>
      <c r="R13" s="2" t="s">
        <v>37</v>
      </c>
      <c r="S13" s="3" t="s">
        <v>38</v>
      </c>
      <c r="Y13" s="7">
        <v>41548</v>
      </c>
      <c r="Z13" s="3">
        <v>6.7</v>
      </c>
      <c r="AA13" s="3">
        <v>2.08</v>
      </c>
      <c r="AB13" s="3">
        <v>0.96</v>
      </c>
      <c r="AC13" s="3">
        <f>6.7*50/1000</f>
        <v>0.33500000000000002</v>
      </c>
      <c r="AD13" s="3" t="s">
        <v>64</v>
      </c>
      <c r="AF13" s="7">
        <v>41548</v>
      </c>
      <c r="AG13" s="3" t="s">
        <v>45</v>
      </c>
      <c r="AM13" s="3" t="s">
        <v>68</v>
      </c>
      <c r="AP13" s="3" t="s">
        <v>69</v>
      </c>
    </row>
    <row r="14" spans="1:44">
      <c r="A14" s="2">
        <v>8.1999999999999993</v>
      </c>
      <c r="B14" s="2" t="s">
        <v>32</v>
      </c>
      <c r="C14" s="2" t="s">
        <v>54</v>
      </c>
      <c r="D14" s="3">
        <v>-23.8962</v>
      </c>
      <c r="E14" s="3">
        <v>-147.7123</v>
      </c>
      <c r="F14" s="2" t="s">
        <v>70</v>
      </c>
      <c r="G14" s="2" t="s">
        <v>66</v>
      </c>
      <c r="H14" s="26">
        <v>41376</v>
      </c>
      <c r="I14" s="5">
        <v>0.69444444444444453</v>
      </c>
      <c r="J14" s="2">
        <v>24</v>
      </c>
      <c r="K14" s="2">
        <v>25.6</v>
      </c>
      <c r="L14" s="6">
        <v>35.700000000000003</v>
      </c>
      <c r="M14" s="2">
        <v>13</v>
      </c>
      <c r="N14" s="2" t="s">
        <v>67</v>
      </c>
      <c r="O14" s="2">
        <v>20</v>
      </c>
      <c r="P14" s="2" t="s">
        <v>42</v>
      </c>
      <c r="Q14" s="2" t="s">
        <v>42</v>
      </c>
      <c r="R14" s="2" t="s">
        <v>37</v>
      </c>
      <c r="S14" s="3">
        <v>19.399999999999999</v>
      </c>
      <c r="T14" s="3">
        <v>2.25</v>
      </c>
      <c r="U14" s="3">
        <v>0.54</v>
      </c>
      <c r="V14" s="3">
        <f>19.4*30/1000</f>
        <v>0.58199999999999996</v>
      </c>
      <c r="W14" s="3" t="s">
        <v>64</v>
      </c>
      <c r="X14" s="3">
        <v>200</v>
      </c>
      <c r="Y14" s="7">
        <v>41640</v>
      </c>
      <c r="Z14" s="3">
        <v>11</v>
      </c>
      <c r="AA14" s="3">
        <v>2.2000000000000002</v>
      </c>
      <c r="AB14" s="3">
        <v>0.03</v>
      </c>
      <c r="AC14" s="3">
        <f>50*Z14/1000</f>
        <v>0.55000000000000004</v>
      </c>
      <c r="AD14" s="3" t="s">
        <v>64</v>
      </c>
      <c r="AE14" s="3">
        <f>V14/AC14</f>
        <v>1.0581818181818181</v>
      </c>
      <c r="AF14" s="7">
        <v>41640</v>
      </c>
      <c r="AG14" s="3" t="s">
        <v>53</v>
      </c>
    </row>
    <row r="15" spans="1:44">
      <c r="A15" s="2">
        <v>9.1</v>
      </c>
      <c r="B15" s="2" t="s">
        <v>32</v>
      </c>
      <c r="C15" s="2" t="s">
        <v>71</v>
      </c>
      <c r="D15" s="3" t="s">
        <v>72</v>
      </c>
      <c r="F15" s="1" t="s">
        <v>40</v>
      </c>
      <c r="G15" s="2" t="s">
        <v>73</v>
      </c>
      <c r="H15" s="4">
        <v>41377</v>
      </c>
      <c r="I15" s="5">
        <v>0.38194444444444442</v>
      </c>
      <c r="J15" s="2">
        <v>24</v>
      </c>
      <c r="K15" s="2">
        <v>25.5</v>
      </c>
      <c r="L15" s="6">
        <v>35.700000000000003</v>
      </c>
      <c r="M15" s="2">
        <v>16.5</v>
      </c>
      <c r="N15" s="2"/>
      <c r="O15" s="2">
        <v>20</v>
      </c>
      <c r="P15" s="2">
        <v>3.9</v>
      </c>
      <c r="Q15" s="2">
        <v>9.9</v>
      </c>
      <c r="R15" s="2" t="s">
        <v>37</v>
      </c>
      <c r="S15" s="3" t="s">
        <v>38</v>
      </c>
      <c r="Y15" s="7">
        <v>41548</v>
      </c>
      <c r="Z15" s="3">
        <v>9.3000000000000007</v>
      </c>
      <c r="AA15" s="3">
        <v>2.2599999999999998</v>
      </c>
      <c r="AB15" s="3">
        <v>1.3</v>
      </c>
      <c r="AC15" s="3">
        <f>9.3*50/1000</f>
        <v>0.46500000000000008</v>
      </c>
      <c r="AD15" s="3" t="s">
        <v>64</v>
      </c>
      <c r="AF15" s="7">
        <v>41548</v>
      </c>
      <c r="AG15" s="3" t="s">
        <v>45</v>
      </c>
      <c r="AM15" s="3" t="s">
        <v>74</v>
      </c>
      <c r="AP15" s="3" t="s">
        <v>75</v>
      </c>
    </row>
    <row r="16" spans="1:44">
      <c r="A16" s="2">
        <v>9.1999999999999993</v>
      </c>
      <c r="B16" s="2" t="s">
        <v>32</v>
      </c>
      <c r="C16" s="2" t="s">
        <v>71</v>
      </c>
      <c r="D16" s="3">
        <v>-23.912299999999998</v>
      </c>
      <c r="E16" s="3">
        <v>-147.6609</v>
      </c>
      <c r="F16" s="1" t="s">
        <v>40</v>
      </c>
      <c r="G16" s="2" t="s">
        <v>73</v>
      </c>
      <c r="H16" s="4">
        <v>41377</v>
      </c>
      <c r="I16" s="5">
        <v>0.38194444444444442</v>
      </c>
      <c r="J16" s="2">
        <v>24</v>
      </c>
      <c r="K16" s="2">
        <v>25.5</v>
      </c>
      <c r="L16" s="6">
        <v>35.700000000000003</v>
      </c>
      <c r="M16" s="2">
        <v>16.5</v>
      </c>
      <c r="N16" s="2"/>
      <c r="O16" s="2">
        <v>20</v>
      </c>
      <c r="P16" s="2">
        <v>3.9</v>
      </c>
      <c r="Q16" s="2">
        <v>9.9</v>
      </c>
      <c r="R16" s="2" t="s">
        <v>37</v>
      </c>
      <c r="S16" s="3" t="s">
        <v>38</v>
      </c>
      <c r="Y16" s="8">
        <v>41609</v>
      </c>
      <c r="Z16" s="3" t="s">
        <v>38</v>
      </c>
      <c r="AD16" s="3" t="s">
        <v>76</v>
      </c>
      <c r="AF16" s="8">
        <v>41609</v>
      </c>
      <c r="AG16" s="3" t="s">
        <v>45</v>
      </c>
    </row>
    <row r="17" spans="1:46">
      <c r="A17" s="2">
        <v>10.1</v>
      </c>
      <c r="B17" s="2" t="s">
        <v>32</v>
      </c>
      <c r="C17" s="2" t="s">
        <v>71</v>
      </c>
      <c r="D17" s="3">
        <v>-23.912299999999998</v>
      </c>
      <c r="E17" s="3">
        <v>-147.6609</v>
      </c>
      <c r="F17" s="1" t="s">
        <v>40</v>
      </c>
      <c r="G17" s="2"/>
      <c r="H17" s="4">
        <v>41377</v>
      </c>
      <c r="I17" s="5">
        <v>0.38541666666666669</v>
      </c>
      <c r="J17" s="2">
        <v>24</v>
      </c>
      <c r="K17" s="2">
        <v>25.5</v>
      </c>
      <c r="L17" s="6">
        <v>35.700000000000003</v>
      </c>
      <c r="M17" s="2">
        <v>15.6</v>
      </c>
      <c r="N17" s="2"/>
      <c r="O17" s="2">
        <v>35</v>
      </c>
      <c r="P17" s="2">
        <v>7.8</v>
      </c>
      <c r="Q17" s="2">
        <v>24.7</v>
      </c>
      <c r="R17" s="2" t="s">
        <v>37</v>
      </c>
      <c r="S17" s="3" t="s">
        <v>38</v>
      </c>
      <c r="Y17" s="7">
        <v>41548</v>
      </c>
      <c r="Z17" s="3">
        <v>23.5</v>
      </c>
      <c r="AA17" s="3">
        <v>1.96</v>
      </c>
      <c r="AB17" s="3">
        <v>0.16</v>
      </c>
      <c r="AC17" s="3">
        <f>23.5*50/1000</f>
        <v>1.175</v>
      </c>
      <c r="AD17" s="3" t="s">
        <v>44</v>
      </c>
      <c r="AE17" s="3">
        <f>1.4/AC17</f>
        <v>1.1914893617021276</v>
      </c>
      <c r="AF17" s="7">
        <v>41548</v>
      </c>
      <c r="AG17" s="3" t="s">
        <v>45</v>
      </c>
      <c r="AM17" s="3" t="s">
        <v>77</v>
      </c>
      <c r="AP17" s="3" t="s">
        <v>78</v>
      </c>
    </row>
    <row r="18" spans="1:46">
      <c r="A18" s="2">
        <v>10.199999999999999</v>
      </c>
      <c r="B18" s="2" t="s">
        <v>32</v>
      </c>
      <c r="C18" s="2" t="s">
        <v>71</v>
      </c>
      <c r="D18" s="3">
        <v>-23.912299999999998</v>
      </c>
      <c r="E18" s="3">
        <v>-147.6609</v>
      </c>
      <c r="F18" s="1" t="s">
        <v>40</v>
      </c>
      <c r="G18" s="2"/>
      <c r="H18" s="4">
        <v>41377</v>
      </c>
      <c r="I18" s="5">
        <v>0.38541666666666669</v>
      </c>
      <c r="J18" s="2">
        <v>24</v>
      </c>
      <c r="K18" s="2">
        <v>25.5</v>
      </c>
      <c r="L18" s="6">
        <v>35.700000000000003</v>
      </c>
      <c r="M18" s="2">
        <v>15.6</v>
      </c>
      <c r="N18" s="2"/>
      <c r="O18" s="2">
        <v>35</v>
      </c>
      <c r="P18" s="2">
        <v>7.8</v>
      </c>
      <c r="Q18" s="2">
        <v>24.7</v>
      </c>
      <c r="R18" s="2" t="s">
        <v>37</v>
      </c>
      <c r="S18" s="3">
        <v>47.1</v>
      </c>
      <c r="T18" s="3">
        <v>2.14</v>
      </c>
      <c r="U18" s="3">
        <v>1.67</v>
      </c>
      <c r="V18" s="3">
        <f>47.1*30/1000</f>
        <v>1.413</v>
      </c>
      <c r="W18" s="3" t="s">
        <v>47</v>
      </c>
      <c r="Y18" s="8">
        <v>41609</v>
      </c>
      <c r="Z18" s="3" t="s">
        <v>79</v>
      </c>
      <c r="AF18" s="8">
        <v>41609</v>
      </c>
      <c r="AG18" s="3" t="s">
        <v>45</v>
      </c>
    </row>
    <row r="19" spans="1:46">
      <c r="A19" s="2">
        <v>11.1</v>
      </c>
      <c r="B19" s="2" t="s">
        <v>32</v>
      </c>
      <c r="C19" s="2" t="s">
        <v>71</v>
      </c>
      <c r="D19" s="3">
        <v>-23.912299999999998</v>
      </c>
      <c r="E19" s="3">
        <v>-147.6609</v>
      </c>
      <c r="F19" s="1" t="s">
        <v>40</v>
      </c>
      <c r="G19" s="2"/>
      <c r="H19" s="4">
        <v>41377</v>
      </c>
      <c r="I19" s="5">
        <v>0.3923611111111111</v>
      </c>
      <c r="J19" s="2">
        <v>24</v>
      </c>
      <c r="K19" s="2">
        <v>25.5</v>
      </c>
      <c r="L19" s="6">
        <v>35.700000000000003</v>
      </c>
      <c r="M19" s="2">
        <v>17</v>
      </c>
      <c r="N19" s="2"/>
      <c r="O19" s="2">
        <v>35</v>
      </c>
      <c r="P19" s="2">
        <v>7.7</v>
      </c>
      <c r="Q19" s="2">
        <v>36.200000000000003</v>
      </c>
      <c r="R19" s="2" t="s">
        <v>37</v>
      </c>
      <c r="S19" s="3" t="s">
        <v>38</v>
      </c>
      <c r="Y19" s="7">
        <v>41548</v>
      </c>
      <c r="Z19" s="3">
        <v>10.5</v>
      </c>
      <c r="AA19" s="3">
        <v>1.83</v>
      </c>
      <c r="AB19" s="3">
        <v>0.14000000000000001</v>
      </c>
      <c r="AC19" s="3">
        <f>Z19*50/1000</f>
        <v>0.52500000000000002</v>
      </c>
      <c r="AD19" s="3" t="s">
        <v>64</v>
      </c>
      <c r="AF19" s="7">
        <v>41548</v>
      </c>
      <c r="AG19" s="3" t="s">
        <v>45</v>
      </c>
      <c r="AM19" s="3" t="s">
        <v>80</v>
      </c>
      <c r="AP19" s="3" t="s">
        <v>81</v>
      </c>
    </row>
    <row r="20" spans="1:46">
      <c r="A20" s="2">
        <v>11.2</v>
      </c>
      <c r="B20" s="2" t="s">
        <v>32</v>
      </c>
      <c r="C20" s="2" t="s">
        <v>71</v>
      </c>
      <c r="D20" s="3">
        <v>-23.912299999999998</v>
      </c>
      <c r="E20" s="3">
        <v>-147.6609</v>
      </c>
      <c r="F20" s="1" t="s">
        <v>40</v>
      </c>
      <c r="G20" s="2"/>
      <c r="H20" s="4">
        <v>41377</v>
      </c>
      <c r="I20" s="5">
        <v>0.3923611111111111</v>
      </c>
      <c r="J20" s="2">
        <v>24</v>
      </c>
      <c r="K20" s="2">
        <v>25.5</v>
      </c>
      <c r="L20" s="6">
        <v>35.700000000000003</v>
      </c>
      <c r="M20" s="2">
        <v>17</v>
      </c>
      <c r="N20" s="2"/>
      <c r="O20" s="2">
        <v>35</v>
      </c>
      <c r="P20" s="2">
        <v>7.7</v>
      </c>
      <c r="Q20" s="2">
        <v>36.200000000000003</v>
      </c>
      <c r="R20" s="2" t="s">
        <v>37</v>
      </c>
      <c r="S20" s="3">
        <v>12.3</v>
      </c>
      <c r="T20" s="3">
        <v>2.14</v>
      </c>
      <c r="U20" s="3">
        <v>0.45</v>
      </c>
      <c r="V20" s="3">
        <f>12.3*30/1000</f>
        <v>0.36899999999999999</v>
      </c>
      <c r="W20" s="3" t="s">
        <v>76</v>
      </c>
      <c r="Y20" s="8">
        <v>41609</v>
      </c>
      <c r="Z20" s="3">
        <v>19.5</v>
      </c>
      <c r="AA20" s="3">
        <v>1.64</v>
      </c>
      <c r="AB20" s="3">
        <v>0.76</v>
      </c>
      <c r="AC20" s="3">
        <f>19.5*50/1000</f>
        <v>0.97499999999999998</v>
      </c>
      <c r="AD20" s="3" t="s">
        <v>44</v>
      </c>
      <c r="AE20" s="3">
        <f>V20/AC20</f>
        <v>0.37846153846153846</v>
      </c>
      <c r="AF20" s="8">
        <v>41609</v>
      </c>
      <c r="AG20" s="3" t="s">
        <v>45</v>
      </c>
    </row>
    <row r="21" spans="1:46">
      <c r="A21" s="2">
        <v>12.1</v>
      </c>
      <c r="B21" s="2" t="s">
        <v>32</v>
      </c>
      <c r="C21" s="2" t="s">
        <v>54</v>
      </c>
      <c r="D21" s="3">
        <v>-23.8962</v>
      </c>
      <c r="E21" s="3">
        <v>-147.7123</v>
      </c>
      <c r="F21" s="27" t="s">
        <v>82</v>
      </c>
      <c r="G21" s="2" t="s">
        <v>83</v>
      </c>
      <c r="H21" s="4">
        <v>41377</v>
      </c>
      <c r="I21" s="5">
        <v>0.65625</v>
      </c>
      <c r="J21" s="2">
        <v>25</v>
      </c>
      <c r="K21" s="2">
        <v>25.6</v>
      </c>
      <c r="L21" s="6">
        <v>35.700000000000003</v>
      </c>
      <c r="M21" s="2">
        <v>13</v>
      </c>
      <c r="N21" s="2" t="s">
        <v>84</v>
      </c>
      <c r="O21" s="2">
        <v>35</v>
      </c>
      <c r="P21" s="2">
        <v>11.6</v>
      </c>
      <c r="Q21" s="2">
        <v>86.9</v>
      </c>
      <c r="R21" s="2" t="s">
        <v>37</v>
      </c>
      <c r="S21" s="3">
        <v>49</v>
      </c>
      <c r="T21" s="3">
        <v>2.1</v>
      </c>
      <c r="U21" s="3">
        <v>1.03</v>
      </c>
      <c r="V21" s="3">
        <f>S21*30/1000</f>
        <v>1.47</v>
      </c>
      <c r="W21" s="3" t="s">
        <v>47</v>
      </c>
      <c r="Y21" s="7">
        <v>41548</v>
      </c>
      <c r="Z21" s="3">
        <v>24.8</v>
      </c>
      <c r="AA21" s="3">
        <v>1.88</v>
      </c>
      <c r="AB21" s="3">
        <v>0.24</v>
      </c>
      <c r="AC21" s="3">
        <f t="shared" ref="AC21:AC35" si="0">Z21*50/1000</f>
        <v>1.24</v>
      </c>
      <c r="AD21" s="3" t="s">
        <v>44</v>
      </c>
      <c r="AE21" s="3">
        <f>V21/AC21</f>
        <v>1.185483870967742</v>
      </c>
      <c r="AF21" s="7">
        <v>41548</v>
      </c>
      <c r="AG21" s="3" t="s">
        <v>45</v>
      </c>
      <c r="AM21" s="3" t="s">
        <v>85</v>
      </c>
      <c r="AP21" s="3" t="s">
        <v>86</v>
      </c>
    </row>
    <row r="22" spans="1:46">
      <c r="A22" s="2">
        <v>12.2</v>
      </c>
      <c r="B22" s="2" t="s">
        <v>32</v>
      </c>
      <c r="C22" s="2" t="s">
        <v>54</v>
      </c>
      <c r="D22" s="3">
        <v>-23.8962</v>
      </c>
      <c r="E22" s="3">
        <v>-147.7123</v>
      </c>
      <c r="F22" s="1" t="s">
        <v>82</v>
      </c>
      <c r="G22" s="2" t="s">
        <v>83</v>
      </c>
      <c r="H22" s="4">
        <v>41377</v>
      </c>
      <c r="I22" s="5">
        <v>0.65625</v>
      </c>
      <c r="J22" s="2">
        <v>25</v>
      </c>
      <c r="K22" s="2">
        <v>25.6</v>
      </c>
      <c r="L22" s="6">
        <v>35.700000000000003</v>
      </c>
      <c r="M22" s="2">
        <v>13</v>
      </c>
      <c r="N22" s="2" t="s">
        <v>84</v>
      </c>
      <c r="O22" s="2">
        <v>35</v>
      </c>
      <c r="P22" s="2">
        <v>11.6</v>
      </c>
      <c r="Q22" s="2">
        <v>86.9</v>
      </c>
      <c r="R22" s="2" t="s">
        <v>37</v>
      </c>
      <c r="S22" s="3">
        <v>31.2</v>
      </c>
      <c r="T22" s="3">
        <v>2.27</v>
      </c>
      <c r="U22" s="3">
        <v>0.38</v>
      </c>
      <c r="V22" s="3">
        <f>30*31.2/1000</f>
        <v>0.93600000000000005</v>
      </c>
      <c r="W22" s="3" t="s">
        <v>60</v>
      </c>
      <c r="X22" s="3">
        <v>200</v>
      </c>
      <c r="Y22" s="7">
        <v>41609</v>
      </c>
      <c r="Z22" s="3" t="s">
        <v>79</v>
      </c>
      <c r="AF22" s="7">
        <v>41609</v>
      </c>
      <c r="AG22" s="3" t="s">
        <v>79</v>
      </c>
    </row>
    <row r="23" spans="1:46">
      <c r="A23" s="2">
        <v>13.1</v>
      </c>
      <c r="B23" s="2" t="s">
        <v>32</v>
      </c>
      <c r="C23" s="2" t="s">
        <v>87</v>
      </c>
      <c r="D23" s="3">
        <v>-23.910799999999998</v>
      </c>
      <c r="E23" s="3">
        <v>-147.68430000000001</v>
      </c>
      <c r="F23" s="1" t="s">
        <v>40</v>
      </c>
      <c r="G23" s="2" t="s">
        <v>73</v>
      </c>
      <c r="H23" s="4">
        <v>41377</v>
      </c>
      <c r="I23" s="5">
        <v>0.46527777777777773</v>
      </c>
      <c r="J23" s="2">
        <v>24</v>
      </c>
      <c r="K23" s="2">
        <v>25.5</v>
      </c>
      <c r="L23" s="6">
        <v>35.700000000000003</v>
      </c>
      <c r="M23" s="2">
        <v>14.5</v>
      </c>
      <c r="N23" s="2" t="s">
        <v>88</v>
      </c>
      <c r="O23" s="2">
        <v>40</v>
      </c>
      <c r="P23" s="2">
        <v>4.7</v>
      </c>
      <c r="Q23" s="2">
        <v>9.1</v>
      </c>
      <c r="R23" s="2" t="s">
        <v>37</v>
      </c>
      <c r="S23" s="3">
        <v>7.9</v>
      </c>
      <c r="T23" s="3">
        <v>1.93</v>
      </c>
      <c r="U23" s="3">
        <v>0.47</v>
      </c>
      <c r="V23" s="3">
        <f>S23*30/1000</f>
        <v>0.23699999999999999</v>
      </c>
      <c r="Y23" s="7">
        <v>41548</v>
      </c>
      <c r="Z23" s="3">
        <v>12.2</v>
      </c>
      <c r="AA23" s="3">
        <v>1.91</v>
      </c>
      <c r="AB23" s="3">
        <v>0.04</v>
      </c>
      <c r="AC23" s="3">
        <f t="shared" si="0"/>
        <v>0.61</v>
      </c>
      <c r="AD23" s="3" t="s">
        <v>60</v>
      </c>
      <c r="AE23" s="3">
        <f>V23/AC23</f>
        <v>0.38852459016393442</v>
      </c>
      <c r="AF23" s="7">
        <v>41548</v>
      </c>
      <c r="AG23" s="3" t="s">
        <v>45</v>
      </c>
      <c r="AM23" s="3" t="s">
        <v>89</v>
      </c>
      <c r="AP23" s="3" t="s">
        <v>90</v>
      </c>
    </row>
    <row r="24" spans="1:46">
      <c r="A24" s="2">
        <v>13.2</v>
      </c>
      <c r="B24" s="2" t="s">
        <v>32</v>
      </c>
      <c r="C24" s="2" t="s">
        <v>91</v>
      </c>
      <c r="D24" s="3">
        <v>-23.910799999999998</v>
      </c>
      <c r="E24" s="3">
        <v>-147.68430000000001</v>
      </c>
      <c r="F24" s="1" t="s">
        <v>40</v>
      </c>
      <c r="G24" s="2" t="s">
        <v>92</v>
      </c>
      <c r="H24" s="4">
        <v>41377</v>
      </c>
      <c r="I24" s="5">
        <v>0.46527777777777773</v>
      </c>
      <c r="J24" s="2">
        <v>24</v>
      </c>
      <c r="K24" s="2">
        <v>25.5</v>
      </c>
      <c r="L24" s="6">
        <v>35.700000000000003</v>
      </c>
      <c r="M24" s="2">
        <v>14.5</v>
      </c>
      <c r="N24" s="2" t="s">
        <v>88</v>
      </c>
      <c r="O24" s="2">
        <v>40</v>
      </c>
      <c r="P24" s="2">
        <v>4.7</v>
      </c>
      <c r="Q24" s="2">
        <v>9.1</v>
      </c>
      <c r="R24" s="2" t="s">
        <v>37</v>
      </c>
      <c r="Y24" s="7"/>
      <c r="AF24" s="7"/>
    </row>
    <row r="25" spans="1:46">
      <c r="A25" s="2">
        <v>14.1</v>
      </c>
      <c r="B25" s="2" t="s">
        <v>32</v>
      </c>
      <c r="C25" s="2" t="s">
        <v>87</v>
      </c>
      <c r="D25" s="3">
        <v>-23.910799999999998</v>
      </c>
      <c r="E25" s="3">
        <v>-147.68430000000001</v>
      </c>
      <c r="F25" s="1" t="s">
        <v>40</v>
      </c>
      <c r="G25" s="2"/>
      <c r="H25" s="4">
        <v>41377</v>
      </c>
      <c r="I25" s="5">
        <v>0.46875</v>
      </c>
      <c r="J25" s="2">
        <v>24</v>
      </c>
      <c r="K25" s="2">
        <v>25.5</v>
      </c>
      <c r="L25" s="6">
        <v>35.700000000000003</v>
      </c>
      <c r="M25" s="2">
        <v>14.5</v>
      </c>
      <c r="N25" s="2" t="s">
        <v>88</v>
      </c>
      <c r="O25" s="2">
        <v>40</v>
      </c>
      <c r="P25" s="2">
        <v>15.9</v>
      </c>
      <c r="Q25" s="2">
        <v>165</v>
      </c>
      <c r="R25" s="2" t="s">
        <v>37</v>
      </c>
      <c r="S25" s="3">
        <v>12.1</v>
      </c>
      <c r="T25" s="3">
        <v>2.09</v>
      </c>
      <c r="U25" s="3">
        <v>0.27</v>
      </c>
      <c r="V25" s="3">
        <f t="shared" ref="V25:V35" si="1">S25*30/1000</f>
        <v>0.36299999999999999</v>
      </c>
      <c r="Y25" s="7">
        <v>41548</v>
      </c>
      <c r="Z25" s="3">
        <v>8.5</v>
      </c>
      <c r="AA25" s="3">
        <v>1.75</v>
      </c>
      <c r="AB25" s="3">
        <v>0.08</v>
      </c>
      <c r="AC25" s="3">
        <f t="shared" si="0"/>
        <v>0.42499999999999999</v>
      </c>
      <c r="AD25" s="3" t="s">
        <v>64</v>
      </c>
      <c r="AE25" s="3">
        <f>V25/AC25</f>
        <v>0.85411764705882354</v>
      </c>
      <c r="AF25" s="7">
        <v>41548</v>
      </c>
      <c r="AG25" s="3" t="s">
        <v>45</v>
      </c>
      <c r="AM25" s="3" t="s">
        <v>93</v>
      </c>
      <c r="AP25" s="3" t="s">
        <v>94</v>
      </c>
    </row>
    <row r="26" spans="1:46">
      <c r="A26" s="2">
        <v>14.2</v>
      </c>
      <c r="B26" s="2" t="s">
        <v>32</v>
      </c>
      <c r="C26" s="2" t="s">
        <v>91</v>
      </c>
      <c r="D26" s="3">
        <v>-23.910799999999998</v>
      </c>
      <c r="E26" s="3">
        <v>-147.68430000000001</v>
      </c>
      <c r="F26" s="1" t="s">
        <v>40</v>
      </c>
      <c r="H26" s="4">
        <v>41377</v>
      </c>
      <c r="I26" s="5">
        <v>0.46875</v>
      </c>
      <c r="J26" s="2">
        <v>24</v>
      </c>
      <c r="K26" s="2">
        <v>25.5</v>
      </c>
      <c r="L26" s="6">
        <v>35.700000000000003</v>
      </c>
      <c r="M26" s="2">
        <v>14.5</v>
      </c>
      <c r="N26" s="2" t="s">
        <v>88</v>
      </c>
      <c r="O26" s="2">
        <v>40</v>
      </c>
      <c r="P26" s="2">
        <v>15.9</v>
      </c>
      <c r="Q26" s="2">
        <v>165</v>
      </c>
      <c r="R26" s="2" t="s">
        <v>37</v>
      </c>
      <c r="Y26" s="8">
        <v>41609</v>
      </c>
      <c r="AF26" s="8">
        <v>41609</v>
      </c>
    </row>
    <row r="27" spans="1:46">
      <c r="A27" s="2">
        <v>15.1</v>
      </c>
      <c r="B27" s="2" t="s">
        <v>32</v>
      </c>
      <c r="C27" s="2" t="s">
        <v>87</v>
      </c>
      <c r="D27" s="3">
        <v>-23.910799999999998</v>
      </c>
      <c r="E27" s="3">
        <v>-147.68430000000001</v>
      </c>
      <c r="F27" s="1" t="s">
        <v>95</v>
      </c>
      <c r="G27" s="3" t="s">
        <v>96</v>
      </c>
      <c r="H27" s="4">
        <v>41377</v>
      </c>
      <c r="I27" s="9">
        <v>0.47222222222222227</v>
      </c>
      <c r="J27" s="2">
        <v>24</v>
      </c>
      <c r="K27" s="2">
        <v>25.5</v>
      </c>
      <c r="L27" s="6">
        <v>35.700000000000003</v>
      </c>
      <c r="M27" s="2">
        <v>14.5</v>
      </c>
      <c r="N27" s="2" t="s">
        <v>88</v>
      </c>
      <c r="O27" s="2">
        <v>40</v>
      </c>
      <c r="P27" s="2">
        <v>13.6</v>
      </c>
      <c r="Q27" s="2">
        <v>75.599999999999994</v>
      </c>
      <c r="R27" s="2" t="s">
        <v>37</v>
      </c>
      <c r="S27" s="3">
        <v>6</v>
      </c>
      <c r="T27" s="3">
        <v>2.2200000000000002</v>
      </c>
      <c r="U27" s="3">
        <v>0.14000000000000001</v>
      </c>
      <c r="V27" s="3">
        <f t="shared" si="1"/>
        <v>0.18</v>
      </c>
      <c r="Y27" s="7">
        <v>41548</v>
      </c>
      <c r="Z27" s="3">
        <v>6.8</v>
      </c>
      <c r="AA27" s="3">
        <v>1.78</v>
      </c>
      <c r="AB27" s="3">
        <v>2.35</v>
      </c>
      <c r="AC27" s="3">
        <f t="shared" si="0"/>
        <v>0.34</v>
      </c>
      <c r="AD27" s="3" t="s">
        <v>64</v>
      </c>
      <c r="AE27" s="3">
        <f>V27/AC27</f>
        <v>0.52941176470588225</v>
      </c>
      <c r="AF27" s="7">
        <v>41548</v>
      </c>
      <c r="AG27" s="3" t="s">
        <v>45</v>
      </c>
    </row>
    <row r="28" spans="1:46">
      <c r="A28" s="2">
        <v>15.2</v>
      </c>
      <c r="B28" s="2" t="s">
        <v>32</v>
      </c>
      <c r="C28" s="2" t="s">
        <v>91</v>
      </c>
      <c r="D28" s="3">
        <v>-23.910799999999998</v>
      </c>
      <c r="E28" s="3">
        <v>-147.68430000000001</v>
      </c>
      <c r="F28" s="2" t="s">
        <v>70</v>
      </c>
      <c r="H28" s="4">
        <v>41377</v>
      </c>
      <c r="I28" s="9">
        <v>0.47222222222222227</v>
      </c>
      <c r="J28" s="2">
        <v>24</v>
      </c>
      <c r="K28" s="2">
        <v>25.5</v>
      </c>
      <c r="L28" s="6">
        <v>35.700000000000003</v>
      </c>
      <c r="M28" s="2">
        <v>14.5</v>
      </c>
      <c r="N28" s="2" t="s">
        <v>88</v>
      </c>
      <c r="O28" s="2">
        <v>40</v>
      </c>
      <c r="P28" s="2">
        <v>13.6</v>
      </c>
      <c r="Q28" s="2">
        <v>75.599999999999994</v>
      </c>
      <c r="R28" s="2" t="s">
        <v>37</v>
      </c>
      <c r="Y28" s="7"/>
      <c r="AF28" s="7"/>
    </row>
    <row r="29" spans="1:46">
      <c r="A29" s="2">
        <v>16.100000000000001</v>
      </c>
      <c r="B29" s="2" t="s">
        <v>32</v>
      </c>
      <c r="C29" s="2" t="s">
        <v>87</v>
      </c>
      <c r="D29" s="3">
        <v>-23.910799999999998</v>
      </c>
      <c r="E29" s="3">
        <v>-147.68430000000001</v>
      </c>
      <c r="F29" s="1" t="s">
        <v>95</v>
      </c>
      <c r="G29" s="2" t="s">
        <v>73</v>
      </c>
      <c r="H29" s="4">
        <v>41377</v>
      </c>
      <c r="I29" s="9">
        <v>0.47916666666666669</v>
      </c>
      <c r="J29" s="2">
        <v>24</v>
      </c>
      <c r="K29" s="2">
        <v>25.5</v>
      </c>
      <c r="L29" s="6">
        <v>35.700000000000003</v>
      </c>
      <c r="M29" s="2">
        <v>13.5</v>
      </c>
      <c r="N29" s="2" t="s">
        <v>88</v>
      </c>
      <c r="O29" s="2">
        <v>40</v>
      </c>
      <c r="P29" s="2">
        <v>5</v>
      </c>
      <c r="Q29" s="2">
        <v>13.2</v>
      </c>
      <c r="R29" s="2" t="s">
        <v>37</v>
      </c>
      <c r="S29" s="3">
        <v>10.3</v>
      </c>
      <c r="T29" s="3">
        <v>2.02</v>
      </c>
      <c r="U29" s="3">
        <v>0.28999999999999998</v>
      </c>
      <c r="V29" s="3">
        <f t="shared" si="1"/>
        <v>0.309</v>
      </c>
      <c r="Y29" s="7">
        <v>41548</v>
      </c>
      <c r="Z29" s="3" t="s">
        <v>38</v>
      </c>
      <c r="AC29" s="3" t="s">
        <v>38</v>
      </c>
      <c r="AD29" s="3" t="s">
        <v>42</v>
      </c>
      <c r="AF29" s="7">
        <v>41548</v>
      </c>
      <c r="AG29" s="3" t="s">
        <v>45</v>
      </c>
      <c r="AM29" s="3" t="s">
        <v>97</v>
      </c>
      <c r="AQ29" s="10">
        <v>41508</v>
      </c>
    </row>
    <row r="30" spans="1:46">
      <c r="A30" s="2">
        <v>16.2</v>
      </c>
      <c r="B30" s="2" t="s">
        <v>32</v>
      </c>
      <c r="C30" s="2" t="s">
        <v>91</v>
      </c>
      <c r="D30" s="3">
        <v>-23.910799999999998</v>
      </c>
      <c r="E30" s="3">
        <v>-147.68430000000001</v>
      </c>
      <c r="F30" s="2" t="s">
        <v>70</v>
      </c>
      <c r="G30" s="2" t="s">
        <v>73</v>
      </c>
      <c r="H30" s="4">
        <v>41377</v>
      </c>
      <c r="I30" s="9">
        <v>0.47916666666666669</v>
      </c>
      <c r="J30" s="2">
        <v>24</v>
      </c>
      <c r="K30" s="2">
        <v>25.5</v>
      </c>
      <c r="L30" s="6">
        <v>35.700000000000003</v>
      </c>
      <c r="M30" s="2">
        <v>13.5</v>
      </c>
      <c r="N30" s="2" t="s">
        <v>88</v>
      </c>
      <c r="O30" s="2">
        <v>40</v>
      </c>
      <c r="P30" s="2">
        <v>5</v>
      </c>
      <c r="Q30" s="2">
        <v>13.2</v>
      </c>
      <c r="R30" s="2" t="s">
        <v>37</v>
      </c>
      <c r="Y30" s="7"/>
      <c r="AF30" s="7"/>
      <c r="AQ30" s="10"/>
    </row>
    <row r="31" spans="1:46">
      <c r="A31" s="2">
        <v>17.100000000000001</v>
      </c>
      <c r="B31" s="2" t="s">
        <v>32</v>
      </c>
      <c r="C31" s="2" t="s">
        <v>87</v>
      </c>
      <c r="D31" s="3">
        <v>-23.910799999999998</v>
      </c>
      <c r="E31" s="3">
        <v>-147.68430000000001</v>
      </c>
      <c r="F31" s="1" t="s">
        <v>40</v>
      </c>
      <c r="H31" s="4">
        <v>41377</v>
      </c>
      <c r="I31" s="9">
        <v>0.4826388888888889</v>
      </c>
      <c r="J31" s="2">
        <v>24</v>
      </c>
      <c r="K31" s="2">
        <v>25.5</v>
      </c>
      <c r="L31" s="6">
        <v>35.700000000000003</v>
      </c>
      <c r="M31" s="2">
        <v>14</v>
      </c>
      <c r="N31" s="2" t="s">
        <v>88</v>
      </c>
      <c r="O31" s="2">
        <v>40</v>
      </c>
      <c r="P31" s="2">
        <v>7.1</v>
      </c>
      <c r="Q31" s="2">
        <v>31.4</v>
      </c>
      <c r="R31" s="2" t="s">
        <v>37</v>
      </c>
      <c r="S31" s="3">
        <v>61.5</v>
      </c>
      <c r="T31" s="3">
        <v>2.13</v>
      </c>
      <c r="U31" s="3">
        <v>1.5</v>
      </c>
      <c r="V31" s="3">
        <f t="shared" si="1"/>
        <v>1.845</v>
      </c>
      <c r="W31" s="3" t="s">
        <v>60</v>
      </c>
      <c r="Y31" s="7">
        <v>41548</v>
      </c>
      <c r="Z31" s="3">
        <v>56.6</v>
      </c>
      <c r="AA31" s="3">
        <v>1.9</v>
      </c>
      <c r="AB31" s="3">
        <v>0.44</v>
      </c>
      <c r="AC31" s="3">
        <f t="shared" si="0"/>
        <v>2.83</v>
      </c>
      <c r="AD31" s="3" t="s">
        <v>44</v>
      </c>
      <c r="AE31" s="3">
        <f>V31/AC31</f>
        <v>0.65194346289752647</v>
      </c>
      <c r="AF31" s="7">
        <v>41548</v>
      </c>
      <c r="AG31" s="3" t="s">
        <v>45</v>
      </c>
      <c r="AM31" s="3" t="s">
        <v>98</v>
      </c>
      <c r="AP31" s="3" t="s">
        <v>99</v>
      </c>
    </row>
    <row r="32" spans="1:46">
      <c r="A32" s="17">
        <v>18.100000000000001</v>
      </c>
      <c r="B32" s="17" t="s">
        <v>32</v>
      </c>
      <c r="C32" s="17" t="s">
        <v>87</v>
      </c>
      <c r="D32" s="19">
        <v>-23.910799999999998</v>
      </c>
      <c r="E32" s="19">
        <v>-147.68430000000001</v>
      </c>
      <c r="F32" s="28" t="s">
        <v>40</v>
      </c>
      <c r="G32" s="19"/>
      <c r="H32" s="29">
        <v>41377</v>
      </c>
      <c r="I32" s="21">
        <v>0.4861111111111111</v>
      </c>
      <c r="J32" s="17">
        <v>25</v>
      </c>
      <c r="K32" s="17">
        <v>25.5</v>
      </c>
      <c r="L32" s="30">
        <v>35.700000000000003</v>
      </c>
      <c r="M32" s="17">
        <v>14</v>
      </c>
      <c r="N32" s="17" t="s">
        <v>88</v>
      </c>
      <c r="O32" s="17">
        <v>40</v>
      </c>
      <c r="P32" s="17">
        <v>5.4</v>
      </c>
      <c r="Q32" s="17">
        <v>16.5</v>
      </c>
      <c r="R32" s="17" t="s">
        <v>37</v>
      </c>
      <c r="S32" s="19">
        <v>70.7</v>
      </c>
      <c r="T32" s="19">
        <v>2.2000000000000002</v>
      </c>
      <c r="U32" s="19">
        <v>0.87</v>
      </c>
      <c r="V32" s="19">
        <f t="shared" si="1"/>
        <v>2.121</v>
      </c>
      <c r="W32" s="19" t="s">
        <v>47</v>
      </c>
      <c r="X32" s="19"/>
      <c r="Y32" s="31">
        <v>41548</v>
      </c>
      <c r="Z32" s="19">
        <v>51.2</v>
      </c>
      <c r="AA32" s="19">
        <v>1.99</v>
      </c>
      <c r="AB32" s="19">
        <v>0.27</v>
      </c>
      <c r="AC32" s="19">
        <f t="shared" si="0"/>
        <v>2.56</v>
      </c>
      <c r="AD32" s="19" t="s">
        <v>44</v>
      </c>
      <c r="AE32" s="3">
        <f>V32/AC32</f>
        <v>0.82851562499999998</v>
      </c>
      <c r="AF32" s="31">
        <v>41548</v>
      </c>
      <c r="AG32" s="19" t="s">
        <v>45</v>
      </c>
      <c r="AH32" s="19"/>
      <c r="AI32" s="19"/>
      <c r="AJ32" s="19"/>
      <c r="AK32" s="19"/>
      <c r="AL32" s="19"/>
      <c r="AM32" s="19" t="s">
        <v>100</v>
      </c>
      <c r="AN32" s="19"/>
      <c r="AO32" s="19"/>
      <c r="AP32" s="19" t="s">
        <v>101</v>
      </c>
      <c r="AQ32" s="19"/>
      <c r="AR32" s="19" t="s">
        <v>102</v>
      </c>
      <c r="AS32" s="19"/>
      <c r="AT32" s="19"/>
    </row>
    <row r="33" spans="1:43">
      <c r="A33" s="2">
        <v>19.100000000000001</v>
      </c>
      <c r="B33" s="2" t="s">
        <v>103</v>
      </c>
      <c r="C33" s="2" t="s">
        <v>104</v>
      </c>
      <c r="D33" s="3" t="s">
        <v>72</v>
      </c>
      <c r="F33" s="1" t="s">
        <v>40</v>
      </c>
      <c r="G33" s="3" t="s">
        <v>96</v>
      </c>
      <c r="H33" s="10">
        <v>41378</v>
      </c>
      <c r="I33" s="9">
        <v>0.36458333333333331</v>
      </c>
      <c r="J33" s="2">
        <v>25</v>
      </c>
      <c r="K33" s="2">
        <v>25.8</v>
      </c>
      <c r="L33" s="6">
        <v>35.6</v>
      </c>
      <c r="M33" s="2">
        <v>15</v>
      </c>
      <c r="N33" s="2" t="s">
        <v>88</v>
      </c>
      <c r="O33" s="2">
        <v>30</v>
      </c>
      <c r="P33" s="2">
        <v>13</v>
      </c>
      <c r="Q33" s="2">
        <v>125</v>
      </c>
      <c r="R33" s="2" t="s">
        <v>37</v>
      </c>
      <c r="S33" s="3">
        <v>74.599999999999994</v>
      </c>
      <c r="T33" s="3">
        <v>2.2000000000000002</v>
      </c>
      <c r="U33" s="3">
        <v>0.72</v>
      </c>
      <c r="V33" s="3">
        <f t="shared" si="1"/>
        <v>2.238</v>
      </c>
      <c r="W33" s="3" t="s">
        <v>47</v>
      </c>
      <c r="Z33" s="3">
        <v>54</v>
      </c>
      <c r="AA33" s="3">
        <v>2</v>
      </c>
      <c r="AB33" s="3">
        <v>2.38</v>
      </c>
      <c r="AC33" s="3">
        <f t="shared" si="0"/>
        <v>2.7</v>
      </c>
      <c r="AD33" s="3" t="s">
        <v>44</v>
      </c>
      <c r="AE33" s="3">
        <f>V33/AC33</f>
        <v>0.82888888888888879</v>
      </c>
      <c r="AG33" s="3" t="s">
        <v>45</v>
      </c>
      <c r="AM33" s="3" t="s">
        <v>57</v>
      </c>
      <c r="AP33" s="3" t="s">
        <v>105</v>
      </c>
    </row>
    <row r="34" spans="1:43">
      <c r="A34" s="2">
        <v>19.2</v>
      </c>
      <c r="B34" s="2" t="s">
        <v>103</v>
      </c>
      <c r="C34" s="2" t="s">
        <v>104</v>
      </c>
      <c r="D34" s="3">
        <v>-23.421299999999999</v>
      </c>
      <c r="E34" s="3">
        <v>-149.4402</v>
      </c>
      <c r="F34" s="1" t="s">
        <v>40</v>
      </c>
      <c r="G34" s="3" t="s">
        <v>106</v>
      </c>
      <c r="H34" s="10">
        <v>41378</v>
      </c>
      <c r="I34" s="9">
        <v>0.36458333333333331</v>
      </c>
      <c r="J34" s="2">
        <v>25</v>
      </c>
      <c r="K34" s="2">
        <v>25.8</v>
      </c>
      <c r="L34" s="6">
        <v>35.6</v>
      </c>
      <c r="M34" s="2">
        <v>15</v>
      </c>
      <c r="N34" s="2" t="s">
        <v>88</v>
      </c>
      <c r="O34" s="2">
        <v>30</v>
      </c>
      <c r="P34" s="2">
        <v>13</v>
      </c>
      <c r="Q34" s="2">
        <v>125</v>
      </c>
      <c r="R34" s="2" t="s">
        <v>37</v>
      </c>
    </row>
    <row r="35" spans="1:43">
      <c r="A35" s="2">
        <v>20.100000000000001</v>
      </c>
      <c r="B35" s="2" t="s">
        <v>103</v>
      </c>
      <c r="C35" s="2" t="s">
        <v>104</v>
      </c>
      <c r="D35" s="3">
        <v>-23.421299999999999</v>
      </c>
      <c r="E35" s="3">
        <v>-149.4402</v>
      </c>
      <c r="F35" s="1" t="s">
        <v>40</v>
      </c>
      <c r="G35" s="3" t="s">
        <v>92</v>
      </c>
      <c r="H35" s="10">
        <v>41378</v>
      </c>
      <c r="I35" s="9">
        <v>0.36805555555555558</v>
      </c>
      <c r="J35" s="2">
        <v>25</v>
      </c>
      <c r="K35" s="2">
        <v>25.8</v>
      </c>
      <c r="L35" s="6">
        <v>35.6</v>
      </c>
      <c r="M35" s="2">
        <v>14.5</v>
      </c>
      <c r="N35" s="2" t="s">
        <v>88</v>
      </c>
      <c r="O35" s="2">
        <v>35</v>
      </c>
      <c r="P35" s="2">
        <v>13.2</v>
      </c>
      <c r="Q35" s="2">
        <v>84.5</v>
      </c>
      <c r="R35" s="2" t="s">
        <v>37</v>
      </c>
      <c r="S35" s="3">
        <v>72.599999999999994</v>
      </c>
      <c r="T35" s="3">
        <v>2.15</v>
      </c>
      <c r="U35" s="3">
        <v>1.06</v>
      </c>
      <c r="V35" s="3">
        <f t="shared" si="1"/>
        <v>2.1779999999999999</v>
      </c>
      <c r="W35" s="3" t="s">
        <v>47</v>
      </c>
      <c r="Z35" s="3">
        <v>51.6</v>
      </c>
      <c r="AA35" s="3">
        <v>1.97</v>
      </c>
      <c r="AB35" s="3">
        <v>0.99</v>
      </c>
      <c r="AC35" s="3">
        <f t="shared" si="0"/>
        <v>2.58</v>
      </c>
      <c r="AD35" s="3" t="s">
        <v>44</v>
      </c>
      <c r="AE35" s="3">
        <f>V35/AC35</f>
        <v>0.84418604651162787</v>
      </c>
      <c r="AG35" s="3" t="s">
        <v>45</v>
      </c>
      <c r="AM35" s="3" t="s">
        <v>61</v>
      </c>
      <c r="AP35" s="3" t="s">
        <v>107</v>
      </c>
    </row>
    <row r="36" spans="1:43">
      <c r="A36" s="2">
        <v>21.1</v>
      </c>
      <c r="B36" s="2" t="s">
        <v>103</v>
      </c>
      <c r="C36" s="2" t="s">
        <v>104</v>
      </c>
      <c r="D36" s="3">
        <v>-23.421299999999999</v>
      </c>
      <c r="E36" s="3">
        <v>-149.4402</v>
      </c>
      <c r="F36" s="1" t="s">
        <v>40</v>
      </c>
      <c r="G36" s="3" t="s">
        <v>92</v>
      </c>
      <c r="H36" s="10">
        <v>41378</v>
      </c>
      <c r="I36" s="9">
        <v>0.375</v>
      </c>
      <c r="J36" s="2">
        <v>25</v>
      </c>
      <c r="K36" s="2">
        <v>25.8</v>
      </c>
      <c r="L36" s="6">
        <v>35.6</v>
      </c>
      <c r="M36" s="2">
        <v>15</v>
      </c>
      <c r="N36" s="2" t="s">
        <v>88</v>
      </c>
      <c r="O36" s="2">
        <v>35</v>
      </c>
      <c r="P36" s="2">
        <v>6.2</v>
      </c>
      <c r="Q36" s="2">
        <v>21.2</v>
      </c>
      <c r="R36" s="2" t="s">
        <v>37</v>
      </c>
      <c r="S36" s="3">
        <v>32.5</v>
      </c>
      <c r="T36" s="3">
        <v>2.15</v>
      </c>
      <c r="U36" s="3">
        <v>0.44</v>
      </c>
      <c r="V36" s="3">
        <f>S36*30/1000</f>
        <v>0.97499999999999998</v>
      </c>
      <c r="W36" s="3" t="s">
        <v>47</v>
      </c>
      <c r="X36" s="3">
        <v>200</v>
      </c>
      <c r="Y36" s="7">
        <v>41609</v>
      </c>
      <c r="Z36" s="3">
        <v>38.5</v>
      </c>
      <c r="AA36" s="3">
        <v>1.94</v>
      </c>
      <c r="AB36" s="3">
        <v>0.35</v>
      </c>
      <c r="AC36" s="3">
        <f>Z36*50/1000</f>
        <v>1.925</v>
      </c>
      <c r="AD36" s="3" t="s">
        <v>44</v>
      </c>
      <c r="AE36" s="3">
        <f>V36/AC36</f>
        <v>0.50649350649350644</v>
      </c>
      <c r="AF36" s="7">
        <v>41609</v>
      </c>
      <c r="AG36" s="3" t="s">
        <v>53</v>
      </c>
      <c r="AM36" s="3" t="s">
        <v>68</v>
      </c>
      <c r="AP36" s="3" t="s">
        <v>108</v>
      </c>
    </row>
    <row r="37" spans="1:43">
      <c r="A37" s="2">
        <v>22.1</v>
      </c>
      <c r="B37" s="2" t="s">
        <v>103</v>
      </c>
      <c r="C37" s="2" t="s">
        <v>104</v>
      </c>
      <c r="D37" s="3">
        <v>-23.421299999999999</v>
      </c>
      <c r="E37" s="3">
        <v>-149.4402</v>
      </c>
      <c r="F37" s="1" t="s">
        <v>95</v>
      </c>
      <c r="G37" s="3" t="s">
        <v>92</v>
      </c>
      <c r="H37" s="10">
        <v>41378</v>
      </c>
      <c r="I37" s="9">
        <v>0.38194444444444442</v>
      </c>
      <c r="J37" s="2">
        <v>25</v>
      </c>
      <c r="K37" s="2">
        <v>25.8</v>
      </c>
      <c r="L37" s="6">
        <v>35.6</v>
      </c>
      <c r="M37" s="2">
        <v>14.5</v>
      </c>
      <c r="N37" s="2" t="s">
        <v>88</v>
      </c>
      <c r="O37" s="2">
        <v>35</v>
      </c>
      <c r="P37" s="2">
        <v>10.199999999999999</v>
      </c>
      <c r="Q37" s="2">
        <v>70</v>
      </c>
      <c r="R37" s="2" t="s">
        <v>37</v>
      </c>
      <c r="S37" s="3" t="s">
        <v>38</v>
      </c>
      <c r="Y37" s="7">
        <v>41640</v>
      </c>
      <c r="Z37" s="3">
        <v>9.5</v>
      </c>
      <c r="AA37" s="3">
        <v>2.33</v>
      </c>
      <c r="AB37" s="3">
        <v>0.14000000000000001</v>
      </c>
      <c r="AC37" s="3">
        <f>Z37*50/1000</f>
        <v>0.47499999999999998</v>
      </c>
      <c r="AD37" s="3" t="s">
        <v>64</v>
      </c>
      <c r="AF37" s="7">
        <v>41640</v>
      </c>
      <c r="AG37" s="3" t="s">
        <v>53</v>
      </c>
      <c r="AM37" s="3" t="s">
        <v>109</v>
      </c>
      <c r="AP37" s="3" t="s">
        <v>110</v>
      </c>
    </row>
    <row r="38" spans="1:43">
      <c r="A38" s="2">
        <v>22.2</v>
      </c>
      <c r="B38" s="2" t="s">
        <v>103</v>
      </c>
      <c r="C38" s="2" t="s">
        <v>104</v>
      </c>
      <c r="D38" s="3">
        <v>-23.421299999999999</v>
      </c>
      <c r="E38" s="3">
        <v>-149.4402</v>
      </c>
      <c r="F38" s="3" t="s">
        <v>70</v>
      </c>
      <c r="H38" s="10">
        <v>41378</v>
      </c>
      <c r="I38" s="9">
        <v>0.38194444444444442</v>
      </c>
      <c r="J38" s="2">
        <v>25</v>
      </c>
      <c r="K38" s="2">
        <v>25.8</v>
      </c>
      <c r="L38" s="6">
        <v>35.6</v>
      </c>
      <c r="M38" s="2">
        <v>14.5</v>
      </c>
      <c r="N38" s="2" t="s">
        <v>88</v>
      </c>
      <c r="O38" s="2">
        <v>35</v>
      </c>
      <c r="P38" s="2">
        <v>10.199999999999999</v>
      </c>
      <c r="Q38" s="2">
        <v>70</v>
      </c>
      <c r="R38" s="2" t="s">
        <v>37</v>
      </c>
      <c r="Y38" s="7"/>
      <c r="AF38" s="7"/>
    </row>
    <row r="39" spans="1:43">
      <c r="A39" s="2">
        <v>23.1</v>
      </c>
      <c r="B39" s="2" t="s">
        <v>103</v>
      </c>
      <c r="C39" s="2" t="s">
        <v>111</v>
      </c>
      <c r="D39" s="3">
        <v>-23.3827</v>
      </c>
      <c r="E39" s="3">
        <v>-149.54929999999999</v>
      </c>
      <c r="F39" s="1" t="s">
        <v>40</v>
      </c>
      <c r="G39" s="3" t="s">
        <v>92</v>
      </c>
      <c r="H39" s="10">
        <v>41378</v>
      </c>
      <c r="I39" s="9">
        <v>0.44097222222222227</v>
      </c>
      <c r="J39" s="2">
        <v>25.5</v>
      </c>
      <c r="K39" s="2">
        <v>25.9</v>
      </c>
      <c r="L39" s="6">
        <v>35.6</v>
      </c>
      <c r="M39" s="2">
        <v>15.5</v>
      </c>
      <c r="N39" s="2" t="s">
        <v>88</v>
      </c>
      <c r="O39" s="2">
        <v>40</v>
      </c>
      <c r="P39" s="2">
        <v>7.2</v>
      </c>
      <c r="Q39" s="2">
        <v>44.9</v>
      </c>
      <c r="R39" s="2" t="s">
        <v>37</v>
      </c>
      <c r="S39" s="3">
        <v>34.4</v>
      </c>
      <c r="T39" s="3">
        <v>2.14</v>
      </c>
      <c r="U39" s="3">
        <v>0.37</v>
      </c>
      <c r="V39" s="3">
        <f>34.4*30/1000</f>
        <v>1.032</v>
      </c>
      <c r="W39" s="3" t="s">
        <v>60</v>
      </c>
      <c r="X39" s="3">
        <v>200</v>
      </c>
      <c r="Y39" s="7">
        <v>41640</v>
      </c>
      <c r="Z39" s="3">
        <v>57.6</v>
      </c>
      <c r="AA39" s="3">
        <v>1.92</v>
      </c>
      <c r="AB39" s="3">
        <v>0.42</v>
      </c>
      <c r="AC39" s="3">
        <f>57.6*50/1000</f>
        <v>2.88</v>
      </c>
      <c r="AD39" s="3" t="s">
        <v>44</v>
      </c>
      <c r="AE39" s="3">
        <f>V39/AC39</f>
        <v>0.35833333333333334</v>
      </c>
      <c r="AF39" s="7">
        <v>41640</v>
      </c>
      <c r="AG39" s="3" t="s">
        <v>53</v>
      </c>
      <c r="AM39" s="3" t="s">
        <v>77</v>
      </c>
      <c r="AP39" s="3" t="s">
        <v>112</v>
      </c>
    </row>
    <row r="40" spans="1:43">
      <c r="A40" s="2">
        <v>24.1</v>
      </c>
      <c r="B40" s="2" t="s">
        <v>103</v>
      </c>
      <c r="C40" s="2" t="s">
        <v>111</v>
      </c>
      <c r="D40" s="3">
        <v>-23.3827</v>
      </c>
      <c r="E40" s="3">
        <v>-149.54929999999999</v>
      </c>
      <c r="F40" s="1" t="s">
        <v>40</v>
      </c>
      <c r="G40" s="32"/>
      <c r="H40" s="10">
        <v>41378</v>
      </c>
      <c r="I40" s="9">
        <v>0.44791666666666669</v>
      </c>
      <c r="J40" s="2">
        <v>25.5</v>
      </c>
      <c r="K40" s="2">
        <v>25.9</v>
      </c>
      <c r="L40" s="6">
        <v>35.6</v>
      </c>
      <c r="M40" s="2">
        <v>15</v>
      </c>
      <c r="N40" s="2" t="s">
        <v>88</v>
      </c>
      <c r="O40" s="2">
        <v>40</v>
      </c>
      <c r="P40" s="2">
        <v>9.1</v>
      </c>
      <c r="Q40" s="2">
        <v>41.9</v>
      </c>
      <c r="R40" s="2" t="s">
        <v>37</v>
      </c>
      <c r="S40" s="3">
        <v>35.200000000000003</v>
      </c>
      <c r="T40" s="3">
        <v>2.1800000000000002</v>
      </c>
      <c r="U40" s="3">
        <v>0.67</v>
      </c>
      <c r="V40" s="3">
        <f>35.2*30/1000</f>
        <v>1.056</v>
      </c>
      <c r="W40" s="3" t="s">
        <v>47</v>
      </c>
      <c r="X40" s="3">
        <v>200</v>
      </c>
      <c r="Y40" s="7">
        <v>41609</v>
      </c>
      <c r="Z40" s="3">
        <v>123.2</v>
      </c>
      <c r="AA40" s="3">
        <v>1.96</v>
      </c>
      <c r="AB40" s="3">
        <v>1.55</v>
      </c>
      <c r="AC40" s="3">
        <f>50*Z40/1000</f>
        <v>6.16</v>
      </c>
      <c r="AD40" s="3" t="s">
        <v>44</v>
      </c>
      <c r="AE40" s="3">
        <f>V40/AC40</f>
        <v>0.17142857142857143</v>
      </c>
      <c r="AF40" s="7">
        <v>41609</v>
      </c>
      <c r="AG40" s="3" t="s">
        <v>53</v>
      </c>
      <c r="AM40" s="3" t="s">
        <v>113</v>
      </c>
      <c r="AP40" s="3" t="s">
        <v>114</v>
      </c>
      <c r="AQ40" s="3" t="s">
        <v>115</v>
      </c>
    </row>
    <row r="41" spans="1:43">
      <c r="A41" s="2">
        <v>25.1</v>
      </c>
      <c r="B41" s="2" t="s">
        <v>103</v>
      </c>
      <c r="C41" s="2" t="s">
        <v>111</v>
      </c>
      <c r="D41" s="3">
        <v>-23.3827</v>
      </c>
      <c r="E41" s="3">
        <v>-149.54929999999999</v>
      </c>
      <c r="F41" s="1" t="s">
        <v>40</v>
      </c>
      <c r="G41" s="3" t="s">
        <v>92</v>
      </c>
      <c r="H41" s="10">
        <v>41378</v>
      </c>
      <c r="I41" s="9">
        <v>0.4548611111111111</v>
      </c>
      <c r="J41" s="2">
        <v>25</v>
      </c>
      <c r="K41" s="2">
        <v>25.9</v>
      </c>
      <c r="L41" s="6">
        <v>35.6</v>
      </c>
      <c r="M41" s="2">
        <v>15.5</v>
      </c>
      <c r="N41" s="2" t="s">
        <v>88</v>
      </c>
      <c r="O41" s="2">
        <v>40</v>
      </c>
      <c r="P41" s="2">
        <v>11</v>
      </c>
      <c r="Q41" s="2">
        <v>39.4</v>
      </c>
      <c r="R41" s="2" t="s">
        <v>37</v>
      </c>
      <c r="S41" s="3">
        <v>112</v>
      </c>
      <c r="T41" s="3">
        <v>2.19</v>
      </c>
      <c r="U41" s="3">
        <v>0.67</v>
      </c>
      <c r="V41" s="3">
        <f>30*S41/1000</f>
        <v>3.36</v>
      </c>
      <c r="W41" s="3" t="s">
        <v>47</v>
      </c>
      <c r="X41" s="3">
        <v>200</v>
      </c>
      <c r="Y41" s="7">
        <v>41609</v>
      </c>
      <c r="Z41" s="3">
        <v>77.7</v>
      </c>
      <c r="AA41" s="3">
        <v>1.95</v>
      </c>
      <c r="AB41" s="3">
        <v>0.89</v>
      </c>
      <c r="AC41" s="3">
        <f>77.7*50/1000</f>
        <v>3.8849999999999998</v>
      </c>
      <c r="AD41" s="3" t="s">
        <v>44</v>
      </c>
      <c r="AE41" s="3">
        <f>V41/AC41</f>
        <v>0.86486486486486491</v>
      </c>
      <c r="AF41" s="7">
        <v>41609</v>
      </c>
      <c r="AG41" s="3" t="s">
        <v>53</v>
      </c>
      <c r="AM41" s="2" t="s">
        <v>116</v>
      </c>
      <c r="AP41" s="3" t="s">
        <v>117</v>
      </c>
      <c r="AQ41" s="3" t="s">
        <v>115</v>
      </c>
    </row>
    <row r="42" spans="1:43">
      <c r="A42" s="2">
        <v>26.1</v>
      </c>
      <c r="B42" s="2" t="s">
        <v>103</v>
      </c>
      <c r="C42" s="2" t="s">
        <v>118</v>
      </c>
      <c r="D42" s="3">
        <v>-23.4253</v>
      </c>
      <c r="E42" s="3">
        <v>-149.51840000000001</v>
      </c>
      <c r="F42" s="1" t="s">
        <v>40</v>
      </c>
      <c r="H42" s="10">
        <v>41378</v>
      </c>
      <c r="I42" s="9">
        <v>0.62152777777777779</v>
      </c>
      <c r="J42" s="2">
        <v>24.5</v>
      </c>
      <c r="K42" s="2">
        <v>25.9</v>
      </c>
      <c r="L42" s="6">
        <v>35.6</v>
      </c>
      <c r="M42" s="2">
        <v>14.5</v>
      </c>
      <c r="N42" s="2" t="s">
        <v>88</v>
      </c>
      <c r="O42" s="2">
        <v>40</v>
      </c>
      <c r="P42" s="2">
        <v>11.8</v>
      </c>
      <c r="Q42" s="2">
        <v>69</v>
      </c>
      <c r="R42" s="2" t="s">
        <v>37</v>
      </c>
      <c r="S42" s="3">
        <v>58.9</v>
      </c>
      <c r="T42" s="3">
        <v>2.16</v>
      </c>
      <c r="U42" s="3">
        <v>1.08</v>
      </c>
      <c r="V42" s="3">
        <f>58.9*30/1000</f>
        <v>1.7669999999999999</v>
      </c>
      <c r="W42" s="3" t="s">
        <v>47</v>
      </c>
      <c r="X42" s="3">
        <v>200</v>
      </c>
      <c r="Y42" s="7">
        <v>41640</v>
      </c>
      <c r="Z42" s="3">
        <v>31.9</v>
      </c>
      <c r="AA42" s="3">
        <v>2.02</v>
      </c>
      <c r="AB42" s="3">
        <v>2.11</v>
      </c>
      <c r="AC42" s="3">
        <f>31.9*50/1000</f>
        <v>1.595</v>
      </c>
      <c r="AD42" s="3" t="s">
        <v>44</v>
      </c>
      <c r="AE42" s="3">
        <f>V42/AC42</f>
        <v>1.1078369905956111</v>
      </c>
      <c r="AF42" s="7">
        <v>41640</v>
      </c>
      <c r="AG42" s="3" t="s">
        <v>53</v>
      </c>
      <c r="AM42" s="2" t="s">
        <v>89</v>
      </c>
      <c r="AP42" s="3" t="s">
        <v>119</v>
      </c>
      <c r="AQ42" s="3" t="s">
        <v>115</v>
      </c>
    </row>
    <row r="43" spans="1:43">
      <c r="A43" s="2">
        <v>27.1</v>
      </c>
      <c r="B43" s="2" t="s">
        <v>103</v>
      </c>
      <c r="C43" s="2" t="s">
        <v>118</v>
      </c>
      <c r="D43" s="3">
        <v>-23.4253</v>
      </c>
      <c r="E43" s="3">
        <v>-149.51840000000001</v>
      </c>
      <c r="F43" s="1" t="s">
        <v>40</v>
      </c>
      <c r="H43" s="10">
        <v>41378</v>
      </c>
      <c r="I43" s="9">
        <v>0.625</v>
      </c>
      <c r="J43" s="2">
        <v>25</v>
      </c>
      <c r="K43" s="2">
        <v>25.9</v>
      </c>
      <c r="L43" s="6">
        <v>35.6</v>
      </c>
      <c r="M43" s="2">
        <v>14.5</v>
      </c>
      <c r="N43" s="2" t="s">
        <v>88</v>
      </c>
      <c r="O43" s="2">
        <v>35</v>
      </c>
      <c r="P43" s="2">
        <v>6.5</v>
      </c>
      <c r="Q43" s="2">
        <v>27.7</v>
      </c>
      <c r="R43" s="2" t="s">
        <v>37</v>
      </c>
      <c r="S43" s="3">
        <v>40.200000000000003</v>
      </c>
      <c r="T43" s="3">
        <v>2.2000000000000002</v>
      </c>
      <c r="U43" s="3">
        <v>0.71</v>
      </c>
      <c r="V43" s="3">
        <f>40.2*30/1000</f>
        <v>1.206</v>
      </c>
      <c r="W43" s="3" t="s">
        <v>47</v>
      </c>
      <c r="X43" s="3">
        <v>200</v>
      </c>
      <c r="Y43" s="7">
        <v>41640</v>
      </c>
      <c r="Z43" s="3">
        <v>27.9</v>
      </c>
      <c r="AA43" s="3">
        <v>2.1</v>
      </c>
      <c r="AB43" s="3">
        <v>0.48</v>
      </c>
      <c r="AC43" s="3">
        <f>27.9*50/1000</f>
        <v>1.395</v>
      </c>
      <c r="AD43" s="3" t="s">
        <v>44</v>
      </c>
      <c r="AE43" s="3">
        <f>V43/AC43</f>
        <v>0.86451612903225805</v>
      </c>
      <c r="AF43" s="7">
        <v>41640</v>
      </c>
      <c r="AG43" s="3" t="s">
        <v>53</v>
      </c>
      <c r="AM43" s="2" t="s">
        <v>120</v>
      </c>
    </row>
    <row r="44" spans="1:43">
      <c r="A44" s="2">
        <v>28.1</v>
      </c>
      <c r="B44" s="2" t="s">
        <v>103</v>
      </c>
      <c r="C44" s="2" t="s">
        <v>118</v>
      </c>
      <c r="D44" s="3">
        <v>-23.4253</v>
      </c>
      <c r="E44" s="3">
        <v>-149.51840000000001</v>
      </c>
      <c r="F44" s="1" t="s">
        <v>40</v>
      </c>
      <c r="G44" s="3" t="s">
        <v>96</v>
      </c>
      <c r="H44" s="10">
        <v>41378</v>
      </c>
      <c r="I44" s="9">
        <v>0.63194444444444442</v>
      </c>
      <c r="J44" s="2">
        <v>25</v>
      </c>
      <c r="K44" s="2">
        <v>25.9</v>
      </c>
      <c r="L44" s="6">
        <v>35.6</v>
      </c>
      <c r="M44" s="2">
        <v>14.5</v>
      </c>
      <c r="N44" s="2" t="s">
        <v>88</v>
      </c>
      <c r="O44" s="2">
        <v>35</v>
      </c>
      <c r="P44" s="2">
        <v>6.4</v>
      </c>
      <c r="Q44" s="2">
        <v>19.100000000000001</v>
      </c>
      <c r="R44" s="2" t="s">
        <v>37</v>
      </c>
      <c r="S44" s="3">
        <v>48.2</v>
      </c>
      <c r="T44" s="3">
        <v>2.0499999999999998</v>
      </c>
      <c r="U44" s="3">
        <v>0.48</v>
      </c>
      <c r="V44" s="3">
        <f>48.2*30/1000</f>
        <v>1.446</v>
      </c>
      <c r="W44" s="3" t="s">
        <v>47</v>
      </c>
      <c r="X44" s="3">
        <v>200</v>
      </c>
      <c r="Y44" s="7">
        <v>41640</v>
      </c>
      <c r="Z44" s="3">
        <v>50.8</v>
      </c>
      <c r="AA44" s="3">
        <v>1.92</v>
      </c>
      <c r="AB44" s="3">
        <v>0.36</v>
      </c>
      <c r="AC44" s="3">
        <f>50.8*50/1000</f>
        <v>2.54</v>
      </c>
      <c r="AD44" s="3" t="s">
        <v>44</v>
      </c>
      <c r="AE44" s="3">
        <f>V44/AC44</f>
        <v>0.56929133858267711</v>
      </c>
      <c r="AF44" s="7">
        <v>41640</v>
      </c>
      <c r="AG44" s="3" t="s">
        <v>53</v>
      </c>
    </row>
    <row r="45" spans="1:43">
      <c r="A45" s="2">
        <v>29.1</v>
      </c>
      <c r="B45" s="2" t="s">
        <v>103</v>
      </c>
      <c r="C45" s="2" t="s">
        <v>118</v>
      </c>
      <c r="D45" s="3">
        <v>-23.4253</v>
      </c>
      <c r="E45" s="3">
        <v>-149.51840000000001</v>
      </c>
      <c r="F45" s="1" t="s">
        <v>40</v>
      </c>
      <c r="G45" s="2" t="s">
        <v>121</v>
      </c>
      <c r="H45" s="10">
        <v>41378</v>
      </c>
      <c r="I45" s="9">
        <v>0.63541666666666663</v>
      </c>
      <c r="J45" s="2">
        <v>25</v>
      </c>
      <c r="K45" s="2">
        <v>25.9</v>
      </c>
      <c r="L45" s="6">
        <v>35.6</v>
      </c>
      <c r="M45" s="2">
        <v>14.5</v>
      </c>
      <c r="N45" s="2" t="s">
        <v>88</v>
      </c>
      <c r="O45" s="2">
        <v>30</v>
      </c>
      <c r="P45" s="2">
        <v>7.2</v>
      </c>
      <c r="Q45" s="2">
        <v>22.3</v>
      </c>
      <c r="R45" s="2" t="s">
        <v>37</v>
      </c>
      <c r="S45" s="3">
        <v>158.5</v>
      </c>
      <c r="T45" s="3">
        <v>2.1800000000000002</v>
      </c>
      <c r="U45" s="3">
        <v>1.17</v>
      </c>
      <c r="V45" s="3">
        <f>158.5*30/1000</f>
        <v>4.7549999999999999</v>
      </c>
      <c r="W45" s="3" t="s">
        <v>47</v>
      </c>
      <c r="X45" s="3">
        <v>200</v>
      </c>
      <c r="Y45" s="7">
        <v>41640</v>
      </c>
      <c r="Z45" s="3">
        <v>81.5</v>
      </c>
      <c r="AA45" s="3">
        <v>1.99</v>
      </c>
      <c r="AB45" s="3">
        <v>1.1200000000000001</v>
      </c>
      <c r="AC45" s="3">
        <f>50*Z45/1000</f>
        <v>4.0750000000000002</v>
      </c>
      <c r="AD45" s="3" t="s">
        <v>44</v>
      </c>
      <c r="AE45" s="3">
        <f>V45/AC45</f>
        <v>1.1668711656441717</v>
      </c>
      <c r="AF45" s="7">
        <v>41640</v>
      </c>
      <c r="AG45" s="3" t="s">
        <v>53</v>
      </c>
      <c r="AK45" s="3" t="s">
        <v>31</v>
      </c>
      <c r="AL45" s="3" t="s">
        <v>6</v>
      </c>
    </row>
    <row r="46" spans="1:43">
      <c r="A46" s="2">
        <v>30.1</v>
      </c>
      <c r="B46" s="2" t="s">
        <v>103</v>
      </c>
      <c r="C46" s="33" t="s">
        <v>122</v>
      </c>
      <c r="D46" s="3">
        <v>-23.4253</v>
      </c>
      <c r="E46" s="3">
        <v>-149.51840000000001</v>
      </c>
      <c r="F46" s="1" t="s">
        <v>40</v>
      </c>
      <c r="G46" s="3" t="s">
        <v>123</v>
      </c>
      <c r="H46" s="10">
        <v>41378</v>
      </c>
      <c r="I46" s="9">
        <v>0.64097222222222217</v>
      </c>
      <c r="J46" s="2">
        <v>25</v>
      </c>
      <c r="K46" s="2">
        <v>25.9</v>
      </c>
      <c r="L46" s="6">
        <v>35.6</v>
      </c>
      <c r="M46" s="2">
        <v>14</v>
      </c>
      <c r="N46" s="2" t="s">
        <v>124</v>
      </c>
      <c r="O46" s="2">
        <v>30</v>
      </c>
      <c r="P46" s="2">
        <v>10</v>
      </c>
      <c r="Q46" s="2">
        <v>64.5</v>
      </c>
      <c r="R46" s="2" t="s">
        <v>37</v>
      </c>
      <c r="S46" s="3">
        <v>30.4</v>
      </c>
      <c r="T46" s="3">
        <v>2.2799999999999998</v>
      </c>
      <c r="U46" s="3">
        <v>0.09</v>
      </c>
      <c r="V46" s="3">
        <f>30.1*30/1000</f>
        <v>0.90300000000000002</v>
      </c>
      <c r="W46" s="3" t="s">
        <v>60</v>
      </c>
      <c r="X46" s="3">
        <v>200</v>
      </c>
      <c r="Y46" s="7">
        <v>41609</v>
      </c>
      <c r="Z46" s="3">
        <v>25.6</v>
      </c>
      <c r="AA46" s="3">
        <v>2.13</v>
      </c>
      <c r="AB46" s="3">
        <v>0.04</v>
      </c>
      <c r="AC46" s="3">
        <f>25.6*50/1000</f>
        <v>1.28</v>
      </c>
      <c r="AD46" s="3" t="s">
        <v>44</v>
      </c>
      <c r="AE46" s="3">
        <f>V46/AC46</f>
        <v>0.70546874999999998</v>
      </c>
      <c r="AF46" s="7">
        <v>41609</v>
      </c>
      <c r="AG46" s="3" t="s">
        <v>79</v>
      </c>
      <c r="AJ46" s="3" t="s">
        <v>125</v>
      </c>
    </row>
    <row r="47" spans="1:43">
      <c r="A47" s="2">
        <v>31.1</v>
      </c>
      <c r="B47" s="2" t="s">
        <v>103</v>
      </c>
      <c r="C47" s="2" t="s">
        <v>126</v>
      </c>
      <c r="D47" s="3" t="s">
        <v>72</v>
      </c>
      <c r="F47" s="1" t="s">
        <v>40</v>
      </c>
      <c r="G47" s="3" t="s">
        <v>123</v>
      </c>
      <c r="H47" s="10">
        <v>41379</v>
      </c>
      <c r="I47" s="9">
        <v>0.38194444444444442</v>
      </c>
      <c r="J47" s="2">
        <v>24.5</v>
      </c>
      <c r="K47" s="2">
        <v>25.8</v>
      </c>
      <c r="L47" s="3">
        <v>35.6</v>
      </c>
      <c r="M47" s="2">
        <v>15</v>
      </c>
      <c r="N47" s="2" t="s">
        <v>127</v>
      </c>
      <c r="O47" s="2">
        <v>40</v>
      </c>
      <c r="P47" s="2">
        <v>9.1</v>
      </c>
      <c r="Q47" s="2">
        <v>41</v>
      </c>
      <c r="R47" s="2" t="s">
        <v>37</v>
      </c>
      <c r="S47" s="3">
        <v>83.7</v>
      </c>
      <c r="T47" s="3">
        <v>2.15</v>
      </c>
      <c r="U47" s="3">
        <v>1.0900000000000001</v>
      </c>
      <c r="V47" s="3">
        <f>30*S47/1000</f>
        <v>2.5110000000000001</v>
      </c>
      <c r="W47" s="3" t="s">
        <v>47</v>
      </c>
      <c r="X47" s="3">
        <v>200</v>
      </c>
      <c r="Y47" s="7">
        <v>41640</v>
      </c>
      <c r="Z47" s="3">
        <v>63.7</v>
      </c>
      <c r="AA47" s="3">
        <v>2</v>
      </c>
      <c r="AB47" s="3">
        <v>0.51</v>
      </c>
      <c r="AC47" s="3">
        <f>50*Z47/1000</f>
        <v>3.1850000000000001</v>
      </c>
      <c r="AD47" s="3" t="s">
        <v>44</v>
      </c>
      <c r="AE47" s="3">
        <f>V47/AC47</f>
        <v>0.78838304552590266</v>
      </c>
      <c r="AF47" s="7">
        <v>41640</v>
      </c>
      <c r="AG47" s="3" t="s">
        <v>53</v>
      </c>
    </row>
    <row r="48" spans="1:43">
      <c r="A48" s="2">
        <v>32.1</v>
      </c>
      <c r="B48" s="2" t="s">
        <v>103</v>
      </c>
      <c r="C48" s="2" t="s">
        <v>126</v>
      </c>
      <c r="D48" s="3">
        <v>-23.4251</v>
      </c>
      <c r="E48" s="3">
        <v>-149.4057</v>
      </c>
      <c r="F48" s="27" t="s">
        <v>128</v>
      </c>
      <c r="G48" s="2" t="s">
        <v>129</v>
      </c>
      <c r="H48" s="10">
        <v>41379</v>
      </c>
      <c r="I48" s="9">
        <v>0.3923611111111111</v>
      </c>
      <c r="J48" s="2">
        <v>24.5</v>
      </c>
      <c r="K48" s="2">
        <v>25.8</v>
      </c>
      <c r="L48" s="3">
        <v>35.6</v>
      </c>
      <c r="M48" s="2">
        <v>14.5</v>
      </c>
      <c r="N48" s="2" t="s">
        <v>127</v>
      </c>
      <c r="O48" s="2">
        <v>35</v>
      </c>
      <c r="P48" s="2">
        <v>5.9</v>
      </c>
      <c r="Q48" s="2">
        <v>22.8</v>
      </c>
      <c r="R48" s="2" t="s">
        <v>37</v>
      </c>
      <c r="S48" s="3">
        <v>23.5</v>
      </c>
      <c r="T48" s="3">
        <v>2.2799999999999998</v>
      </c>
      <c r="U48" s="3">
        <v>0.68</v>
      </c>
      <c r="V48" s="3">
        <f>23.5*30/1000</f>
        <v>0.70499999999999996</v>
      </c>
      <c r="W48" s="3" t="s">
        <v>60</v>
      </c>
      <c r="X48" s="3">
        <v>200</v>
      </c>
      <c r="Y48" s="7">
        <v>41640</v>
      </c>
      <c r="Z48" s="3">
        <v>100.7</v>
      </c>
      <c r="AA48" s="3">
        <v>1.96</v>
      </c>
      <c r="AB48" s="3">
        <v>0.7</v>
      </c>
      <c r="AC48" s="3">
        <f>100.7*50/1000</f>
        <v>5.0350000000000001</v>
      </c>
      <c r="AD48" s="3" t="s">
        <v>44</v>
      </c>
      <c r="AE48" s="3">
        <f>V48/AC48</f>
        <v>0.14001986097318767</v>
      </c>
      <c r="AF48" s="7">
        <v>41640</v>
      </c>
      <c r="AG48" s="3" t="s">
        <v>53</v>
      </c>
    </row>
    <row r="49" spans="1:46">
      <c r="A49" s="2">
        <v>33.1</v>
      </c>
      <c r="B49" s="2" t="s">
        <v>103</v>
      </c>
      <c r="C49" s="2" t="s">
        <v>130</v>
      </c>
      <c r="D49" s="3">
        <v>-23.378599999999999</v>
      </c>
      <c r="E49" s="3">
        <v>-149.3853</v>
      </c>
      <c r="F49" s="1" t="s">
        <v>40</v>
      </c>
      <c r="G49" s="3" t="s">
        <v>123</v>
      </c>
      <c r="H49" s="10">
        <v>41379</v>
      </c>
      <c r="I49" s="9">
        <v>0.4548611111111111</v>
      </c>
      <c r="J49" s="2">
        <v>24.5</v>
      </c>
      <c r="K49" s="2">
        <v>25.8</v>
      </c>
      <c r="L49" s="3">
        <v>35.6</v>
      </c>
      <c r="M49" s="2">
        <v>14.5</v>
      </c>
      <c r="N49" s="2" t="s">
        <v>127</v>
      </c>
      <c r="O49" s="3" t="s">
        <v>131</v>
      </c>
      <c r="P49" s="2">
        <v>8.9</v>
      </c>
      <c r="Q49" s="2">
        <v>49.2</v>
      </c>
      <c r="R49" s="2" t="s">
        <v>37</v>
      </c>
      <c r="S49" s="3">
        <v>46</v>
      </c>
      <c r="T49" s="3">
        <v>2.2599999999999998</v>
      </c>
      <c r="U49" s="3">
        <v>0.44</v>
      </c>
      <c r="V49" s="3">
        <f>46*30/1000</f>
        <v>1.38</v>
      </c>
      <c r="W49" s="3" t="s">
        <v>47</v>
      </c>
      <c r="X49" s="3">
        <v>200</v>
      </c>
      <c r="Y49" s="7">
        <v>41640</v>
      </c>
      <c r="Z49" s="3">
        <v>20.8</v>
      </c>
      <c r="AA49" s="3">
        <v>1.84</v>
      </c>
      <c r="AB49" s="3">
        <v>0.12</v>
      </c>
      <c r="AC49" s="3">
        <f>20.8*50/1000</f>
        <v>1.04</v>
      </c>
      <c r="AD49" s="3" t="s">
        <v>44</v>
      </c>
      <c r="AE49" s="3">
        <f>V49/AC49</f>
        <v>1.3269230769230769</v>
      </c>
      <c r="AF49" s="7">
        <v>41640</v>
      </c>
      <c r="AG49" s="3" t="s">
        <v>53</v>
      </c>
    </row>
    <row r="50" spans="1:46">
      <c r="A50" s="2">
        <v>34.1</v>
      </c>
      <c r="B50" s="2" t="s">
        <v>103</v>
      </c>
      <c r="C50" s="2" t="s">
        <v>130</v>
      </c>
      <c r="D50" s="3">
        <v>-23.378599999999999</v>
      </c>
      <c r="E50" s="3">
        <v>-149.3853</v>
      </c>
      <c r="F50" s="1" t="s">
        <v>40</v>
      </c>
      <c r="G50" s="3" t="s">
        <v>123</v>
      </c>
      <c r="H50" s="10">
        <v>41379</v>
      </c>
      <c r="I50" s="9">
        <v>0.46527777777777773</v>
      </c>
      <c r="J50" s="2">
        <v>25</v>
      </c>
      <c r="K50" s="2">
        <v>25.8</v>
      </c>
      <c r="L50" s="3">
        <v>35.6</v>
      </c>
      <c r="M50" s="2">
        <v>15</v>
      </c>
      <c r="N50" s="2" t="s">
        <v>127</v>
      </c>
      <c r="O50" s="3">
        <v>45</v>
      </c>
      <c r="P50" s="2">
        <v>9.1999999999999993</v>
      </c>
      <c r="Q50" s="2">
        <v>54</v>
      </c>
      <c r="R50" s="2" t="s">
        <v>37</v>
      </c>
      <c r="S50" s="3">
        <v>27.4</v>
      </c>
      <c r="T50" s="3">
        <v>2.2200000000000002</v>
      </c>
      <c r="U50" s="3">
        <v>0.32</v>
      </c>
      <c r="V50" s="3">
        <f>27.4*30/1000</f>
        <v>0.82199999999999995</v>
      </c>
      <c r="W50" s="3" t="s">
        <v>60</v>
      </c>
      <c r="X50" s="3">
        <v>200</v>
      </c>
      <c r="Y50" s="7">
        <v>41640</v>
      </c>
      <c r="Z50" s="3">
        <v>13.3</v>
      </c>
      <c r="AA50" s="3">
        <v>1.88</v>
      </c>
      <c r="AB50" s="3">
        <v>0.06</v>
      </c>
      <c r="AC50" s="3">
        <f>13.3*50/1000</f>
        <v>0.66500000000000004</v>
      </c>
      <c r="AD50" s="3" t="s">
        <v>60</v>
      </c>
      <c r="AE50" s="3">
        <f>V50/AC50</f>
        <v>1.2360902255639097</v>
      </c>
      <c r="AF50" s="7">
        <v>41640</v>
      </c>
      <c r="AG50" s="3" t="s">
        <v>53</v>
      </c>
    </row>
    <row r="51" spans="1:46">
      <c r="A51" s="2">
        <v>35.1</v>
      </c>
      <c r="B51" s="2" t="s">
        <v>103</v>
      </c>
      <c r="C51" s="2" t="s">
        <v>130</v>
      </c>
      <c r="D51" s="3">
        <v>-23.378599999999999</v>
      </c>
      <c r="E51" s="3">
        <v>-149.3853</v>
      </c>
      <c r="F51" s="1" t="s">
        <v>40</v>
      </c>
      <c r="G51" s="3" t="s">
        <v>123</v>
      </c>
      <c r="H51" s="10">
        <v>41379</v>
      </c>
      <c r="I51" s="9">
        <v>0.47569444444444442</v>
      </c>
      <c r="J51" s="2">
        <v>25</v>
      </c>
      <c r="K51" s="2">
        <v>25.8</v>
      </c>
      <c r="L51" s="3">
        <v>35.6</v>
      </c>
      <c r="M51" s="2">
        <v>14.5</v>
      </c>
      <c r="N51" s="2" t="s">
        <v>127</v>
      </c>
      <c r="O51" s="3">
        <v>45</v>
      </c>
      <c r="P51" s="2">
        <v>9.5</v>
      </c>
      <c r="Q51" s="2">
        <v>44.2</v>
      </c>
      <c r="R51" s="2" t="s">
        <v>37</v>
      </c>
      <c r="S51" s="3" t="s">
        <v>132</v>
      </c>
    </row>
    <row r="52" spans="1:46">
      <c r="A52" s="2">
        <v>35.200000000000003</v>
      </c>
      <c r="B52" s="2" t="s">
        <v>103</v>
      </c>
      <c r="C52" s="2" t="s">
        <v>130</v>
      </c>
      <c r="D52" s="3">
        <v>-23.378599999999999</v>
      </c>
      <c r="E52" s="3">
        <v>-149.3853</v>
      </c>
      <c r="F52" s="1" t="s">
        <v>40</v>
      </c>
      <c r="G52" s="3" t="s">
        <v>123</v>
      </c>
      <c r="H52" s="10">
        <v>41379</v>
      </c>
      <c r="I52" s="9">
        <v>0.47569444444444442</v>
      </c>
      <c r="J52" s="2">
        <v>25</v>
      </c>
      <c r="K52" s="2">
        <v>25.8</v>
      </c>
      <c r="L52" s="3">
        <v>35.6</v>
      </c>
      <c r="M52" s="2">
        <v>14.5</v>
      </c>
      <c r="N52" s="2" t="s">
        <v>127</v>
      </c>
      <c r="O52" s="3">
        <v>45</v>
      </c>
      <c r="P52" s="2">
        <v>9.5</v>
      </c>
      <c r="Q52" s="2">
        <v>44.2</v>
      </c>
      <c r="R52" s="2" t="s">
        <v>37</v>
      </c>
      <c r="S52" s="3">
        <v>82.2</v>
      </c>
      <c r="T52" s="3">
        <v>2.21</v>
      </c>
      <c r="U52" s="3">
        <v>0.8</v>
      </c>
      <c r="V52" s="3">
        <f>30*S52/1000</f>
        <v>2.4660000000000002</v>
      </c>
      <c r="W52" s="3" t="s">
        <v>47</v>
      </c>
      <c r="X52" s="3">
        <v>200</v>
      </c>
      <c r="Y52" s="7">
        <v>41640</v>
      </c>
      <c r="Z52" s="3">
        <v>70.099999999999994</v>
      </c>
      <c r="AA52" s="3">
        <v>1.99</v>
      </c>
      <c r="AB52" s="3">
        <v>1.7</v>
      </c>
      <c r="AC52" s="3">
        <f>Z52*50/1000</f>
        <v>3.5049999999999994</v>
      </c>
      <c r="AD52" s="3" t="s">
        <v>44</v>
      </c>
      <c r="AE52" s="3">
        <f>V52/AC52</f>
        <v>0.7035663338088447</v>
      </c>
      <c r="AF52" s="7">
        <v>41640</v>
      </c>
      <c r="AG52" s="3" t="s">
        <v>53</v>
      </c>
    </row>
    <row r="53" spans="1:46">
      <c r="A53" s="2">
        <v>36.1</v>
      </c>
      <c r="B53" s="2" t="s">
        <v>103</v>
      </c>
      <c r="C53" s="2" t="s">
        <v>133</v>
      </c>
      <c r="D53" s="3">
        <v>-23.348500000000001</v>
      </c>
      <c r="E53" s="3">
        <v>-149.53129999999999</v>
      </c>
      <c r="F53" s="1" t="s">
        <v>40</v>
      </c>
      <c r="G53" s="2" t="s">
        <v>73</v>
      </c>
      <c r="H53" s="10">
        <v>41380</v>
      </c>
      <c r="I53" s="9">
        <v>0.35625000000000001</v>
      </c>
      <c r="J53" s="2">
        <v>25</v>
      </c>
      <c r="K53" s="2">
        <v>25.7</v>
      </c>
      <c r="L53" s="3">
        <v>35.700000000000003</v>
      </c>
      <c r="M53" s="2">
        <v>18</v>
      </c>
      <c r="N53" s="2" t="s">
        <v>134</v>
      </c>
      <c r="O53" s="3">
        <v>5</v>
      </c>
      <c r="P53" s="2">
        <v>5.4</v>
      </c>
      <c r="Q53" s="2">
        <v>20.8</v>
      </c>
      <c r="R53" s="2" t="s">
        <v>37</v>
      </c>
      <c r="S53" s="3">
        <v>28.4</v>
      </c>
      <c r="T53" s="3">
        <v>2.08</v>
      </c>
      <c r="U53" s="3">
        <v>0.62</v>
      </c>
      <c r="V53" s="3">
        <f>28.4*30/1000</f>
        <v>0.85199999999999998</v>
      </c>
      <c r="W53" s="3" t="s">
        <v>60</v>
      </c>
      <c r="X53" s="3">
        <v>200</v>
      </c>
      <c r="Y53" s="7">
        <v>41640</v>
      </c>
      <c r="Z53" s="3">
        <v>5.2</v>
      </c>
      <c r="AA53" s="3">
        <v>1.44</v>
      </c>
      <c r="AB53" s="3">
        <v>0.27</v>
      </c>
      <c r="AC53" s="3">
        <f>5.2*50/1000</f>
        <v>0.26</v>
      </c>
      <c r="AD53" s="3" t="s">
        <v>64</v>
      </c>
      <c r="AE53" s="3">
        <f>V53/AC53</f>
        <v>3.2769230769230768</v>
      </c>
      <c r="AF53" s="7">
        <v>41640</v>
      </c>
      <c r="AG53" s="3" t="s">
        <v>53</v>
      </c>
    </row>
    <row r="54" spans="1:46">
      <c r="A54" s="2">
        <v>36.200000000000003</v>
      </c>
      <c r="B54" s="2" t="s">
        <v>103</v>
      </c>
      <c r="C54" s="2" t="s">
        <v>133</v>
      </c>
      <c r="D54" s="3">
        <v>-23.348500000000001</v>
      </c>
      <c r="E54" s="3">
        <v>-149.53129999999999</v>
      </c>
      <c r="F54" s="1" t="s">
        <v>40</v>
      </c>
      <c r="H54" s="10">
        <v>41380</v>
      </c>
      <c r="I54" s="9">
        <v>0.35625000000000001</v>
      </c>
      <c r="J54" s="2">
        <v>25</v>
      </c>
      <c r="K54" s="2">
        <v>25.7</v>
      </c>
      <c r="L54" s="3">
        <v>35.700000000000003</v>
      </c>
      <c r="M54" s="2">
        <v>18</v>
      </c>
      <c r="N54" s="2" t="s">
        <v>134</v>
      </c>
      <c r="O54" s="3">
        <v>5</v>
      </c>
      <c r="P54" s="2">
        <v>5.4</v>
      </c>
      <c r="Q54" s="2">
        <v>20.8</v>
      </c>
      <c r="R54" s="2" t="s">
        <v>37</v>
      </c>
      <c r="Y54" s="7"/>
      <c r="AF54" s="7"/>
    </row>
    <row r="55" spans="1:46">
      <c r="A55" s="19">
        <v>37.1</v>
      </c>
      <c r="B55" s="19" t="s">
        <v>103</v>
      </c>
      <c r="C55" s="19" t="s">
        <v>135</v>
      </c>
      <c r="D55" s="19">
        <v>-23.356100000000001</v>
      </c>
      <c r="E55" s="19">
        <v>-149.55179999999999</v>
      </c>
      <c r="F55" s="1" t="s">
        <v>40</v>
      </c>
      <c r="G55" s="19"/>
      <c r="H55" s="20">
        <v>41380</v>
      </c>
      <c r="I55" s="21">
        <v>0.4375</v>
      </c>
      <c r="J55" s="17">
        <v>26</v>
      </c>
      <c r="K55" s="17">
        <v>25.8</v>
      </c>
      <c r="L55" s="19">
        <v>35.6</v>
      </c>
      <c r="M55" s="17">
        <v>18</v>
      </c>
      <c r="N55" s="17" t="s">
        <v>84</v>
      </c>
      <c r="O55" s="19">
        <v>20</v>
      </c>
      <c r="P55" s="17">
        <v>7.1</v>
      </c>
      <c r="Q55" s="17">
        <v>33.6</v>
      </c>
      <c r="R55" s="17" t="s">
        <v>37</v>
      </c>
      <c r="S55" s="19" t="s">
        <v>38</v>
      </c>
      <c r="T55" s="19"/>
      <c r="U55" s="19"/>
      <c r="V55" s="19"/>
      <c r="W55" s="19"/>
      <c r="X55" s="19"/>
      <c r="Y55" s="31">
        <v>41640</v>
      </c>
      <c r="Z55" s="19">
        <v>21.1</v>
      </c>
      <c r="AA55" s="19">
        <v>1.8</v>
      </c>
      <c r="AB55" s="19">
        <v>0.46</v>
      </c>
      <c r="AC55" s="19">
        <f>21.1*50/1000</f>
        <v>1.0549999999999999</v>
      </c>
      <c r="AD55" s="19" t="s">
        <v>44</v>
      </c>
      <c r="AF55" s="31">
        <v>41640</v>
      </c>
      <c r="AG55" s="3" t="s">
        <v>53</v>
      </c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</row>
    <row r="56" spans="1:46">
      <c r="A56" s="3">
        <v>38</v>
      </c>
      <c r="B56" s="3" t="s">
        <v>136</v>
      </c>
      <c r="C56" s="3" t="s">
        <v>137</v>
      </c>
      <c r="D56" s="3">
        <v>-22.452200000000001</v>
      </c>
      <c r="E56" s="3">
        <v>-151.3235</v>
      </c>
      <c r="F56" s="1" t="s">
        <v>138</v>
      </c>
      <c r="G56" s="2" t="s">
        <v>73</v>
      </c>
      <c r="H56" s="10">
        <v>41381</v>
      </c>
      <c r="I56" s="9">
        <v>0.37847222222222227</v>
      </c>
      <c r="J56" s="3">
        <v>26</v>
      </c>
      <c r="K56" s="3">
        <v>26.5</v>
      </c>
      <c r="L56" s="3">
        <v>35.700000000000003</v>
      </c>
      <c r="M56" s="3">
        <v>13.5</v>
      </c>
      <c r="N56" s="3" t="s">
        <v>88</v>
      </c>
      <c r="O56" s="3">
        <v>10</v>
      </c>
      <c r="P56" s="2">
        <v>5.3</v>
      </c>
      <c r="Q56" s="2">
        <v>17.7</v>
      </c>
      <c r="R56" s="2" t="s">
        <v>37</v>
      </c>
    </row>
    <row r="57" spans="1:46">
      <c r="A57" s="3">
        <v>39</v>
      </c>
      <c r="B57" s="3" t="s">
        <v>136</v>
      </c>
      <c r="C57" s="3" t="s">
        <v>137</v>
      </c>
      <c r="D57" s="3" t="s">
        <v>72</v>
      </c>
      <c r="F57" s="1" t="s">
        <v>139</v>
      </c>
      <c r="H57" s="10">
        <v>41381</v>
      </c>
      <c r="I57" s="9">
        <v>0.38541666666666669</v>
      </c>
      <c r="J57" s="2">
        <v>26</v>
      </c>
      <c r="K57" s="3">
        <v>26.5</v>
      </c>
      <c r="L57" s="3">
        <v>35.700000000000003</v>
      </c>
      <c r="M57" s="2">
        <v>11.5</v>
      </c>
      <c r="N57" s="3" t="s">
        <v>88</v>
      </c>
      <c r="O57" s="3">
        <v>20</v>
      </c>
      <c r="P57" s="2">
        <v>7.8</v>
      </c>
      <c r="Q57" s="2">
        <v>42.4</v>
      </c>
      <c r="R57" s="2" t="s">
        <v>37</v>
      </c>
    </row>
    <row r="58" spans="1:46">
      <c r="A58" s="3">
        <v>40.1</v>
      </c>
      <c r="B58" s="3" t="s">
        <v>136</v>
      </c>
      <c r="C58" s="3" t="s">
        <v>137</v>
      </c>
      <c r="D58" s="3">
        <v>-22.452200000000001</v>
      </c>
      <c r="E58" s="3">
        <v>-151.3235</v>
      </c>
      <c r="F58" s="1" t="s">
        <v>40</v>
      </c>
      <c r="G58" s="3" t="s">
        <v>140</v>
      </c>
      <c r="H58" s="10">
        <v>41381</v>
      </c>
      <c r="I58" s="9">
        <v>0.3923611111111111</v>
      </c>
      <c r="J58" s="2">
        <v>26</v>
      </c>
      <c r="K58" s="3">
        <v>26.5</v>
      </c>
      <c r="L58" s="3">
        <v>35.700000000000003</v>
      </c>
      <c r="M58" s="2">
        <v>11</v>
      </c>
      <c r="N58" s="3" t="s">
        <v>88</v>
      </c>
      <c r="O58" s="3">
        <v>15</v>
      </c>
      <c r="P58" s="2">
        <v>10.3</v>
      </c>
      <c r="Q58" s="2">
        <v>74.7</v>
      </c>
      <c r="R58" s="2" t="s">
        <v>37</v>
      </c>
    </row>
    <row r="59" spans="1:46">
      <c r="A59" s="3">
        <v>40.200000000000003</v>
      </c>
      <c r="B59" s="3" t="s">
        <v>136</v>
      </c>
      <c r="C59" s="3" t="s">
        <v>137</v>
      </c>
      <c r="D59" s="3">
        <v>-22.452200000000001</v>
      </c>
      <c r="E59" s="3">
        <v>-151.3235</v>
      </c>
      <c r="F59" s="1" t="s">
        <v>40</v>
      </c>
      <c r="H59" s="10">
        <v>41381</v>
      </c>
      <c r="I59" s="9">
        <v>0.3923611111111111</v>
      </c>
      <c r="J59" s="2">
        <v>26</v>
      </c>
      <c r="K59" s="3">
        <v>26.5</v>
      </c>
      <c r="L59" s="3">
        <v>35.700000000000003</v>
      </c>
      <c r="M59" s="2">
        <v>11</v>
      </c>
      <c r="N59" s="3" t="s">
        <v>88</v>
      </c>
      <c r="O59" s="3">
        <v>15</v>
      </c>
      <c r="P59" s="2">
        <v>10.3</v>
      </c>
      <c r="Q59" s="2">
        <v>74.7</v>
      </c>
      <c r="R59" s="2" t="s">
        <v>37</v>
      </c>
      <c r="S59" s="3">
        <v>42.4</v>
      </c>
      <c r="T59" s="3">
        <v>2.2200000000000002</v>
      </c>
      <c r="U59" s="3">
        <v>1.01</v>
      </c>
      <c r="V59" s="3">
        <f>42.4*30/1000</f>
        <v>1.272</v>
      </c>
      <c r="W59" s="3" t="s">
        <v>47</v>
      </c>
      <c r="X59" s="3">
        <v>200</v>
      </c>
      <c r="Y59" s="7">
        <v>41609</v>
      </c>
      <c r="Z59" s="3">
        <v>71.2</v>
      </c>
      <c r="AA59" s="3">
        <v>1.95</v>
      </c>
      <c r="AB59" s="3">
        <v>1.28</v>
      </c>
      <c r="AC59" s="3">
        <f>50*Z59/1000</f>
        <v>3.56</v>
      </c>
      <c r="AD59" s="3" t="s">
        <v>44</v>
      </c>
      <c r="AE59" s="3">
        <f>V59/AC59</f>
        <v>0.35730337078651686</v>
      </c>
      <c r="AF59" s="7">
        <v>41609</v>
      </c>
      <c r="AG59" s="3" t="s">
        <v>53</v>
      </c>
    </row>
    <row r="60" spans="1:46">
      <c r="A60" s="3">
        <v>41</v>
      </c>
      <c r="B60" s="3" t="s">
        <v>136</v>
      </c>
      <c r="C60" s="3" t="s">
        <v>141</v>
      </c>
      <c r="D60" s="3">
        <v>-22.432300000000001</v>
      </c>
      <c r="E60" s="3">
        <v>-151.376</v>
      </c>
      <c r="F60" s="1" t="s">
        <v>139</v>
      </c>
      <c r="G60" s="3" t="s">
        <v>92</v>
      </c>
      <c r="H60" s="10">
        <v>41381</v>
      </c>
      <c r="I60" s="9">
        <v>0.46875</v>
      </c>
      <c r="J60" s="2">
        <v>26</v>
      </c>
      <c r="K60" s="3">
        <v>26.6</v>
      </c>
      <c r="L60" s="3">
        <v>35.6</v>
      </c>
      <c r="M60" s="2">
        <v>15</v>
      </c>
      <c r="N60" s="3" t="s">
        <v>88</v>
      </c>
      <c r="O60" s="3">
        <v>10</v>
      </c>
      <c r="P60" s="2">
        <v>6.8</v>
      </c>
      <c r="Q60" s="2">
        <v>25.7</v>
      </c>
      <c r="R60" s="2" t="s">
        <v>37</v>
      </c>
    </row>
    <row r="61" spans="1:46">
      <c r="A61" s="3">
        <v>42</v>
      </c>
      <c r="B61" s="3" t="s">
        <v>136</v>
      </c>
      <c r="C61" s="3" t="s">
        <v>141</v>
      </c>
      <c r="D61" s="3">
        <v>-22.432300000000001</v>
      </c>
      <c r="E61" s="3">
        <v>-151.376</v>
      </c>
      <c r="F61" s="1" t="s">
        <v>139</v>
      </c>
      <c r="G61" s="3" t="s">
        <v>123</v>
      </c>
      <c r="H61" s="10">
        <v>41381</v>
      </c>
      <c r="I61" s="9">
        <v>0.47569444444444442</v>
      </c>
      <c r="J61" s="2">
        <v>26</v>
      </c>
      <c r="K61" s="3">
        <v>26.6</v>
      </c>
      <c r="L61" s="3">
        <v>35.6</v>
      </c>
      <c r="M61" s="2">
        <v>14</v>
      </c>
      <c r="N61" s="3" t="s">
        <v>88</v>
      </c>
      <c r="O61" s="3">
        <v>10</v>
      </c>
      <c r="P61" s="2">
        <v>6.1</v>
      </c>
      <c r="Q61" s="2">
        <v>19.399999999999999</v>
      </c>
      <c r="R61" s="2" t="s">
        <v>37</v>
      </c>
    </row>
    <row r="62" spans="1:46">
      <c r="A62" s="3">
        <v>43</v>
      </c>
      <c r="B62" s="3" t="s">
        <v>136</v>
      </c>
      <c r="C62" s="3" t="s">
        <v>142</v>
      </c>
      <c r="D62" s="3">
        <v>-22.520399999999999</v>
      </c>
      <c r="E62" s="3">
        <v>-151.33269999999999</v>
      </c>
      <c r="F62" s="1" t="s">
        <v>139</v>
      </c>
      <c r="G62" s="3" t="s">
        <v>123</v>
      </c>
      <c r="H62" s="10">
        <v>41381</v>
      </c>
      <c r="I62" s="9">
        <v>0.62152777777777779</v>
      </c>
      <c r="J62" s="2">
        <v>26</v>
      </c>
      <c r="K62" s="3">
        <v>26.6</v>
      </c>
      <c r="L62" s="3">
        <v>35.700000000000003</v>
      </c>
      <c r="M62" s="2">
        <v>19.5</v>
      </c>
      <c r="N62" s="3" t="s">
        <v>88</v>
      </c>
      <c r="O62" s="12" t="s">
        <v>143</v>
      </c>
      <c r="P62" s="2">
        <v>9</v>
      </c>
      <c r="Q62" s="2">
        <v>33.9</v>
      </c>
      <c r="R62" s="2" t="s">
        <v>37</v>
      </c>
    </row>
    <row r="63" spans="1:46">
      <c r="A63" s="3">
        <v>44.1</v>
      </c>
      <c r="B63" s="3" t="s">
        <v>136</v>
      </c>
      <c r="C63" s="3" t="s">
        <v>142</v>
      </c>
      <c r="D63" s="3">
        <v>-22.520399999999999</v>
      </c>
      <c r="E63" s="3">
        <v>-151.33269999999999</v>
      </c>
      <c r="F63" s="1" t="s">
        <v>138</v>
      </c>
      <c r="G63" s="2" t="s">
        <v>73</v>
      </c>
      <c r="H63" s="10">
        <v>41381</v>
      </c>
      <c r="I63" s="9">
        <v>0.63194444444444442</v>
      </c>
      <c r="J63" s="2">
        <v>26</v>
      </c>
      <c r="K63" s="3">
        <v>26.6</v>
      </c>
      <c r="L63" s="3">
        <v>35.700000000000003</v>
      </c>
      <c r="M63" s="2">
        <v>10.5</v>
      </c>
      <c r="N63" s="3" t="s">
        <v>88</v>
      </c>
      <c r="O63" s="3" t="s">
        <v>143</v>
      </c>
      <c r="P63" s="2">
        <v>3.7</v>
      </c>
      <c r="Q63" s="2">
        <v>6.3</v>
      </c>
      <c r="R63" s="2" t="s">
        <v>37</v>
      </c>
      <c r="S63" s="3" t="s">
        <v>59</v>
      </c>
      <c r="Y63" s="7">
        <v>41609</v>
      </c>
      <c r="Z63" s="3">
        <v>10.9</v>
      </c>
      <c r="AA63" s="3">
        <v>2.0099999999999998</v>
      </c>
      <c r="AB63" s="3">
        <v>0.12</v>
      </c>
      <c r="AC63" s="3">
        <f>10.9*50/1000</f>
        <v>0.54500000000000004</v>
      </c>
      <c r="AD63" s="3" t="s">
        <v>64</v>
      </c>
      <c r="AF63" s="7">
        <v>41609</v>
      </c>
      <c r="AG63" s="3" t="s">
        <v>53</v>
      </c>
    </row>
    <row r="64" spans="1:46">
      <c r="A64" s="19">
        <v>45.1</v>
      </c>
      <c r="B64" s="19" t="s">
        <v>136</v>
      </c>
      <c r="C64" s="19" t="s">
        <v>142</v>
      </c>
      <c r="D64" s="19">
        <v>-22.520399999999999</v>
      </c>
      <c r="E64" s="19">
        <v>-151.33269999999999</v>
      </c>
      <c r="F64" s="1" t="s">
        <v>144</v>
      </c>
      <c r="G64" s="17" t="s">
        <v>73</v>
      </c>
      <c r="H64" s="20">
        <v>41381</v>
      </c>
      <c r="I64" s="21">
        <v>0.64930555555555558</v>
      </c>
      <c r="J64" s="17">
        <v>26</v>
      </c>
      <c r="K64" s="19">
        <v>26.6</v>
      </c>
      <c r="L64" s="19">
        <v>35.700000000000003</v>
      </c>
      <c r="M64" s="17">
        <v>9</v>
      </c>
      <c r="N64" s="19" t="s">
        <v>88</v>
      </c>
      <c r="O64" s="19" t="s">
        <v>143</v>
      </c>
      <c r="P64" s="17">
        <v>4.9000000000000004</v>
      </c>
      <c r="Q64" s="17">
        <v>12.3</v>
      </c>
      <c r="R64" s="17" t="s">
        <v>37</v>
      </c>
      <c r="S64" s="19" t="s">
        <v>59</v>
      </c>
      <c r="T64" s="19"/>
      <c r="U64" s="19"/>
      <c r="V64" s="19"/>
      <c r="W64" s="19"/>
      <c r="X64" s="19"/>
      <c r="Y64" s="19"/>
      <c r="Z64" s="19">
        <v>14.3</v>
      </c>
      <c r="AA64" s="19">
        <v>1.81</v>
      </c>
      <c r="AB64" s="19">
        <v>0.13</v>
      </c>
      <c r="AC64" s="19">
        <f>14.3*50/1000</f>
        <v>0.71499999999999997</v>
      </c>
      <c r="AD64" s="19" t="s">
        <v>60</v>
      </c>
      <c r="AF64" s="31">
        <v>41609</v>
      </c>
      <c r="AG64" s="19" t="s">
        <v>79</v>
      </c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</row>
    <row r="65" spans="1:46">
      <c r="B65" s="3" t="s">
        <v>145</v>
      </c>
      <c r="C65" s="3" t="s">
        <v>146</v>
      </c>
      <c r="D65" s="3">
        <v>-22.640599999999999</v>
      </c>
      <c r="E65" s="3">
        <v>-152.82230000000001</v>
      </c>
      <c r="F65" s="2" t="s">
        <v>147</v>
      </c>
      <c r="G65" s="3" t="s">
        <v>148</v>
      </c>
      <c r="H65" s="10">
        <v>41382</v>
      </c>
      <c r="I65" s="3" t="s">
        <v>42</v>
      </c>
      <c r="J65" s="3" t="s">
        <v>42</v>
      </c>
      <c r="K65" s="3">
        <v>26.3</v>
      </c>
      <c r="L65" s="3">
        <v>35.700000000000003</v>
      </c>
      <c r="N65" s="3">
        <f>AVERAGE(M56:M64)</f>
        <v>12.777777777777779</v>
      </c>
      <c r="R65" s="2" t="s">
        <v>37</v>
      </c>
    </row>
    <row r="66" spans="1:46">
      <c r="B66" s="3" t="s">
        <v>145</v>
      </c>
      <c r="C66" s="3" t="s">
        <v>149</v>
      </c>
      <c r="D66" s="3">
        <v>-22.666499999999999</v>
      </c>
      <c r="E66" s="3">
        <v>-152.79580000000001</v>
      </c>
      <c r="F66" s="1"/>
      <c r="G66" s="3" t="s">
        <v>148</v>
      </c>
      <c r="H66" s="10">
        <v>41382</v>
      </c>
      <c r="I66" s="3" t="s">
        <v>42</v>
      </c>
      <c r="J66" s="3" t="s">
        <v>42</v>
      </c>
      <c r="K66" s="3">
        <v>26.2</v>
      </c>
      <c r="L66" s="3">
        <v>35.700000000000003</v>
      </c>
      <c r="N66" s="3">
        <f>STDEV(M56:M64)</f>
        <v>3.1534813214040853</v>
      </c>
      <c r="R66" s="2" t="s">
        <v>37</v>
      </c>
    </row>
    <row r="67" spans="1:46">
      <c r="B67" s="3" t="s">
        <v>145</v>
      </c>
      <c r="C67" s="3" t="s">
        <v>150</v>
      </c>
      <c r="D67" s="3">
        <v>-22.643999999999998</v>
      </c>
      <c r="E67" s="3">
        <v>-152.78819999999999</v>
      </c>
      <c r="F67" s="1"/>
      <c r="G67" s="3" t="s">
        <v>148</v>
      </c>
      <c r="H67" s="10">
        <v>41382</v>
      </c>
      <c r="I67" s="3" t="s">
        <v>42</v>
      </c>
      <c r="J67" s="3" t="s">
        <v>42</v>
      </c>
      <c r="K67" s="3">
        <v>26.3</v>
      </c>
      <c r="L67" s="3">
        <v>35.700000000000003</v>
      </c>
      <c r="N67" s="3">
        <f>AVERAGE(M70:M91)</f>
        <v>13.272727272727273</v>
      </c>
      <c r="R67" s="2" t="s">
        <v>37</v>
      </c>
    </row>
    <row r="68" spans="1:46">
      <c r="B68" s="3" t="s">
        <v>145</v>
      </c>
      <c r="C68" s="3" t="s">
        <v>151</v>
      </c>
      <c r="D68" s="3">
        <v>-22.6648</v>
      </c>
      <c r="E68" s="3">
        <v>-152.81630000000001</v>
      </c>
      <c r="F68" s="1"/>
      <c r="G68" s="3" t="s">
        <v>152</v>
      </c>
      <c r="H68" s="10">
        <v>41383</v>
      </c>
      <c r="I68" s="3" t="s">
        <v>42</v>
      </c>
      <c r="J68" s="3" t="s">
        <v>42</v>
      </c>
      <c r="K68" s="3">
        <v>26.1</v>
      </c>
      <c r="L68" s="3">
        <v>35.6</v>
      </c>
      <c r="N68" s="3">
        <f>STDEV(M70:M91)</f>
        <v>2.93065599972849</v>
      </c>
      <c r="R68" s="2" t="s">
        <v>37</v>
      </c>
    </row>
    <row r="69" spans="1:46">
      <c r="A69" s="19"/>
      <c r="B69" s="19" t="s">
        <v>145</v>
      </c>
      <c r="C69" s="19" t="s">
        <v>153</v>
      </c>
      <c r="D69" s="19">
        <v>-22.659199999999998</v>
      </c>
      <c r="E69" s="19">
        <v>-152.81630000000001</v>
      </c>
      <c r="F69" s="19" t="s">
        <v>154</v>
      </c>
      <c r="G69" s="19"/>
      <c r="H69" s="20"/>
      <c r="I69" s="19"/>
      <c r="J69" s="19"/>
      <c r="K69" s="19">
        <v>26</v>
      </c>
      <c r="L69" s="19">
        <v>35.700000000000003</v>
      </c>
      <c r="M69" s="19"/>
      <c r="N69" s="19"/>
      <c r="O69" s="19"/>
      <c r="P69" s="19"/>
      <c r="Q69" s="19"/>
      <c r="R69" s="17" t="s">
        <v>37</v>
      </c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</row>
    <row r="70" spans="1:46">
      <c r="A70" s="3">
        <v>46.1</v>
      </c>
      <c r="B70" s="3" t="s">
        <v>155</v>
      </c>
      <c r="C70" s="3" t="s">
        <v>156</v>
      </c>
      <c r="D70" s="3" t="s">
        <v>72</v>
      </c>
      <c r="F70" s="1" t="s">
        <v>139</v>
      </c>
      <c r="G70" s="3" t="s">
        <v>157</v>
      </c>
      <c r="H70" s="10">
        <v>41384</v>
      </c>
      <c r="I70" s="9">
        <v>0.40625</v>
      </c>
      <c r="J70" s="3">
        <v>26</v>
      </c>
      <c r="K70" s="3">
        <v>26.7</v>
      </c>
      <c r="L70" s="3">
        <v>35.700000000000003</v>
      </c>
      <c r="M70" s="3">
        <v>15</v>
      </c>
      <c r="N70" s="3" t="s">
        <v>84</v>
      </c>
      <c r="O70" s="3">
        <v>50</v>
      </c>
      <c r="P70" s="2">
        <v>12.4</v>
      </c>
      <c r="Q70" s="2">
        <v>75.400000000000006</v>
      </c>
      <c r="R70" s="2" t="s">
        <v>37</v>
      </c>
      <c r="S70" s="3">
        <v>22</v>
      </c>
      <c r="T70" s="3">
        <v>2.1800000000000002</v>
      </c>
      <c r="U70" s="3">
        <v>1.68</v>
      </c>
      <c r="V70" s="3">
        <f>22*30/1000</f>
        <v>0.66</v>
      </c>
      <c r="W70" s="3" t="s">
        <v>60</v>
      </c>
      <c r="X70" s="3">
        <v>200</v>
      </c>
      <c r="Y70" s="7">
        <v>41609</v>
      </c>
      <c r="Z70" s="3">
        <v>16.2</v>
      </c>
      <c r="AA70" s="3">
        <v>1.98</v>
      </c>
      <c r="AB70" s="3">
        <v>0.14000000000000001</v>
      </c>
      <c r="AC70" s="3">
        <f>30*Z70/1000</f>
        <v>0.48599999999999999</v>
      </c>
      <c r="AD70" s="3" t="s">
        <v>60</v>
      </c>
      <c r="AE70" s="3">
        <f>V70/AC70</f>
        <v>1.3580246913580247</v>
      </c>
      <c r="AF70" s="7">
        <v>41609</v>
      </c>
      <c r="AG70" s="3" t="s">
        <v>53</v>
      </c>
    </row>
    <row r="71" spans="1:46">
      <c r="A71" s="3">
        <v>47.1</v>
      </c>
      <c r="B71" s="3" t="s">
        <v>155</v>
      </c>
      <c r="C71" s="3" t="s">
        <v>156</v>
      </c>
      <c r="D71" s="3">
        <v>-21.812999999999999</v>
      </c>
      <c r="E71" s="3">
        <v>-154.6891</v>
      </c>
      <c r="F71" s="1" t="s">
        <v>139</v>
      </c>
      <c r="G71" s="3" t="s">
        <v>158</v>
      </c>
      <c r="H71" s="10">
        <v>41384</v>
      </c>
      <c r="I71" s="9">
        <v>0.41319444444444442</v>
      </c>
      <c r="J71" s="3">
        <v>26</v>
      </c>
      <c r="K71" s="3">
        <v>26.7</v>
      </c>
      <c r="L71" s="3">
        <v>35.700000000000003</v>
      </c>
      <c r="M71" s="3">
        <v>16</v>
      </c>
      <c r="N71" s="3" t="s">
        <v>84</v>
      </c>
      <c r="O71" s="3">
        <v>50</v>
      </c>
      <c r="P71" s="3">
        <v>9.6</v>
      </c>
      <c r="Q71" s="3">
        <v>52.5</v>
      </c>
      <c r="R71" s="2" t="s">
        <v>37</v>
      </c>
      <c r="S71" s="3">
        <v>19.7</v>
      </c>
      <c r="T71" s="3">
        <v>2.12</v>
      </c>
      <c r="U71" s="3">
        <v>0.35</v>
      </c>
      <c r="V71" s="3">
        <f>19.7*30/1000</f>
        <v>0.59099999999999997</v>
      </c>
      <c r="W71" s="3" t="s">
        <v>64</v>
      </c>
      <c r="X71" s="3">
        <v>197</v>
      </c>
      <c r="Y71" s="7">
        <v>41640</v>
      </c>
      <c r="Z71" s="3">
        <v>25.3</v>
      </c>
      <c r="AA71" s="3">
        <v>2.15</v>
      </c>
      <c r="AB71" s="3">
        <v>0.21</v>
      </c>
      <c r="AC71" s="3">
        <f>25.3*50/1000</f>
        <v>1.2649999999999999</v>
      </c>
      <c r="AD71" s="3" t="s">
        <v>44</v>
      </c>
      <c r="AE71" s="3">
        <f>V71/AC71</f>
        <v>0.46719367588932809</v>
      </c>
      <c r="AF71" s="7">
        <v>41640</v>
      </c>
      <c r="AG71" s="3" t="s">
        <v>53</v>
      </c>
    </row>
    <row r="72" spans="1:46">
      <c r="A72" s="3">
        <v>48.1</v>
      </c>
      <c r="B72" s="3" t="s">
        <v>155</v>
      </c>
      <c r="C72" s="3" t="s">
        <v>156</v>
      </c>
      <c r="D72" s="3">
        <v>-21.812999999999999</v>
      </c>
      <c r="E72" s="3">
        <v>-154.6891</v>
      </c>
      <c r="F72" s="2" t="s">
        <v>159</v>
      </c>
      <c r="G72" s="3" t="s">
        <v>160</v>
      </c>
      <c r="H72" s="10">
        <v>41384</v>
      </c>
      <c r="I72" s="9">
        <v>0.4236111111111111</v>
      </c>
      <c r="J72" s="3">
        <v>26</v>
      </c>
      <c r="K72" s="3">
        <v>26.7</v>
      </c>
      <c r="L72" s="3">
        <v>35.700000000000003</v>
      </c>
      <c r="M72" s="3">
        <v>14.5</v>
      </c>
      <c r="N72" s="3" t="s">
        <v>161</v>
      </c>
      <c r="O72" s="3">
        <v>50</v>
      </c>
      <c r="P72" s="3">
        <v>5.4</v>
      </c>
      <c r="Q72" s="3">
        <v>15.8</v>
      </c>
      <c r="R72" s="2" t="s">
        <v>37</v>
      </c>
      <c r="S72" s="3">
        <v>21.8</v>
      </c>
      <c r="T72" s="3">
        <v>2.11</v>
      </c>
      <c r="U72" s="3">
        <v>0.16</v>
      </c>
      <c r="V72" s="3">
        <f>21.8*30/1000</f>
        <v>0.65400000000000003</v>
      </c>
      <c r="W72" s="3" t="s">
        <v>64</v>
      </c>
      <c r="X72" s="3">
        <v>218</v>
      </c>
      <c r="Y72" s="7">
        <v>41640</v>
      </c>
      <c r="Z72" s="3">
        <v>12.7</v>
      </c>
      <c r="AA72" s="3">
        <v>2.5299999999999998</v>
      </c>
      <c r="AB72" s="3">
        <v>0.05</v>
      </c>
      <c r="AC72" s="3">
        <f>12.7*50/1000</f>
        <v>0.63500000000000001</v>
      </c>
      <c r="AD72" s="3" t="s">
        <v>64</v>
      </c>
      <c r="AE72" s="3">
        <f>V72/AC72</f>
        <v>1.0299212598425198</v>
      </c>
      <c r="AF72" s="7">
        <v>41640</v>
      </c>
      <c r="AG72" s="3" t="s">
        <v>53</v>
      </c>
    </row>
    <row r="73" spans="1:46">
      <c r="A73" s="3">
        <v>48.2</v>
      </c>
      <c r="B73" s="3" t="s">
        <v>155</v>
      </c>
      <c r="C73" s="3" t="s">
        <v>156</v>
      </c>
      <c r="D73" s="3">
        <v>-21.812999999999999</v>
      </c>
      <c r="E73" s="3">
        <v>-154.6891</v>
      </c>
      <c r="F73" s="3" t="s">
        <v>70</v>
      </c>
      <c r="H73" s="10">
        <v>41384</v>
      </c>
      <c r="I73" s="9">
        <v>0.4236111111111111</v>
      </c>
      <c r="J73" s="3">
        <v>26</v>
      </c>
      <c r="K73" s="3">
        <v>26.7</v>
      </c>
      <c r="L73" s="3">
        <v>35.700000000000003</v>
      </c>
      <c r="M73" s="3">
        <v>14.5</v>
      </c>
      <c r="N73" s="3" t="s">
        <v>161</v>
      </c>
      <c r="O73" s="3">
        <v>50</v>
      </c>
      <c r="P73" s="3">
        <v>5.4</v>
      </c>
      <c r="Q73" s="3">
        <v>15.8</v>
      </c>
      <c r="R73" s="2" t="s">
        <v>37</v>
      </c>
      <c r="Y73" s="7"/>
      <c r="AF73" s="7"/>
    </row>
    <row r="74" spans="1:46">
      <c r="A74" s="3">
        <v>49.1</v>
      </c>
      <c r="B74" s="3" t="s">
        <v>155</v>
      </c>
      <c r="C74" s="3" t="s">
        <v>156</v>
      </c>
      <c r="D74" s="3">
        <v>-21.812999999999999</v>
      </c>
      <c r="E74" s="3">
        <v>-154.6891</v>
      </c>
      <c r="F74" s="1" t="s">
        <v>139</v>
      </c>
      <c r="G74" s="3" t="s">
        <v>162</v>
      </c>
      <c r="H74" s="10">
        <v>41384</v>
      </c>
      <c r="I74" s="9">
        <v>0.43055555555555558</v>
      </c>
      <c r="J74" s="3">
        <v>26</v>
      </c>
      <c r="K74" s="3">
        <v>26.7</v>
      </c>
      <c r="L74" s="3">
        <v>35.700000000000003</v>
      </c>
      <c r="M74" s="3">
        <v>13.5</v>
      </c>
      <c r="N74" s="3" t="s">
        <v>161</v>
      </c>
      <c r="O74" s="3" t="s">
        <v>163</v>
      </c>
      <c r="P74" s="3">
        <v>13.6</v>
      </c>
      <c r="Q74" s="3">
        <v>89.1</v>
      </c>
      <c r="R74" s="2" t="s">
        <v>37</v>
      </c>
      <c r="S74" s="3">
        <v>73.2</v>
      </c>
      <c r="T74" s="3">
        <v>2.13</v>
      </c>
      <c r="U74" s="3">
        <v>0.54</v>
      </c>
      <c r="V74" s="3">
        <f>73.2*30/1000</f>
        <v>2.1960000000000002</v>
      </c>
      <c r="W74" s="3" t="s">
        <v>47</v>
      </c>
      <c r="X74" s="3">
        <v>200</v>
      </c>
      <c r="Y74" s="7">
        <v>41640</v>
      </c>
      <c r="Z74" s="3">
        <v>43.5</v>
      </c>
      <c r="AA74" s="3">
        <v>1.93</v>
      </c>
      <c r="AB74" s="3">
        <v>0.77</v>
      </c>
      <c r="AC74" s="3">
        <f>43.5*50/1000</f>
        <v>2.1749999999999998</v>
      </c>
      <c r="AD74" s="3" t="s">
        <v>44</v>
      </c>
      <c r="AE74" s="3">
        <f>V74/AC74</f>
        <v>1.0096551724137932</v>
      </c>
      <c r="AF74" s="7">
        <v>41640</v>
      </c>
      <c r="AG74" s="3" t="s">
        <v>53</v>
      </c>
    </row>
    <row r="75" spans="1:46">
      <c r="A75" s="3">
        <v>50.1</v>
      </c>
      <c r="B75" s="3" t="s">
        <v>155</v>
      </c>
      <c r="C75" s="3" t="s">
        <v>164</v>
      </c>
      <c r="D75" s="3">
        <v>-21.790099999999999</v>
      </c>
      <c r="E75" s="3">
        <v>-154.7037</v>
      </c>
      <c r="F75" s="1" t="s">
        <v>139</v>
      </c>
      <c r="G75" s="3" t="s">
        <v>165</v>
      </c>
      <c r="H75" s="10">
        <v>41384</v>
      </c>
      <c r="I75" s="9">
        <v>0.49305555555555558</v>
      </c>
      <c r="J75" s="3">
        <v>27</v>
      </c>
      <c r="K75" s="3">
        <v>26.8</v>
      </c>
      <c r="L75" s="3">
        <v>35.700000000000003</v>
      </c>
      <c r="M75" s="3">
        <v>16.5</v>
      </c>
      <c r="N75" s="3" t="s">
        <v>161</v>
      </c>
      <c r="O75" s="3">
        <v>60</v>
      </c>
      <c r="P75" s="3">
        <v>7.9</v>
      </c>
      <c r="Q75" s="3">
        <v>37</v>
      </c>
      <c r="R75" s="2" t="s">
        <v>37</v>
      </c>
      <c r="S75" s="3">
        <v>26.4</v>
      </c>
      <c r="T75" s="3">
        <v>2.33</v>
      </c>
      <c r="U75" s="3">
        <v>7.0000000000000007E-2</v>
      </c>
      <c r="V75" s="3">
        <f>30*S75/1000</f>
        <v>0.79200000000000004</v>
      </c>
      <c r="W75" s="3" t="s">
        <v>60</v>
      </c>
      <c r="X75" s="3" t="s">
        <v>166</v>
      </c>
      <c r="Y75" s="7">
        <v>41609</v>
      </c>
      <c r="Z75" s="3">
        <v>118.6</v>
      </c>
      <c r="AA75" s="3">
        <v>1.92</v>
      </c>
      <c r="AB75" s="3">
        <v>2.25</v>
      </c>
      <c r="AC75" s="3">
        <f>Z75*50/1000</f>
        <v>5.93</v>
      </c>
      <c r="AD75" s="3" t="s">
        <v>44</v>
      </c>
      <c r="AE75" s="3">
        <f>V75/AC75</f>
        <v>0.13355817875210793</v>
      </c>
      <c r="AF75" s="7">
        <v>41609</v>
      </c>
      <c r="AG75" s="3" t="s">
        <v>53</v>
      </c>
    </row>
    <row r="76" spans="1:46">
      <c r="A76" s="3">
        <v>51.1</v>
      </c>
      <c r="B76" s="3" t="s">
        <v>155</v>
      </c>
      <c r="C76" s="3" t="s">
        <v>164</v>
      </c>
      <c r="D76" s="3">
        <v>-21.790099999999999</v>
      </c>
      <c r="E76" s="3">
        <v>-154.7037</v>
      </c>
      <c r="F76" s="1" t="s">
        <v>139</v>
      </c>
      <c r="G76" s="3" t="s">
        <v>167</v>
      </c>
      <c r="H76" s="10">
        <v>41384</v>
      </c>
      <c r="I76" s="9">
        <v>0.50138888888888888</v>
      </c>
      <c r="J76" s="3">
        <v>27</v>
      </c>
      <c r="K76" s="3">
        <v>26.8</v>
      </c>
      <c r="L76" s="3">
        <v>35.700000000000003</v>
      </c>
      <c r="M76" s="3">
        <v>15</v>
      </c>
      <c r="N76" s="3" t="s">
        <v>161</v>
      </c>
      <c r="O76" s="3">
        <v>60</v>
      </c>
      <c r="P76" s="3">
        <v>2.8</v>
      </c>
      <c r="Q76" s="3">
        <v>4.5999999999999996</v>
      </c>
      <c r="R76" s="2" t="s">
        <v>37</v>
      </c>
      <c r="S76" s="3">
        <v>24.7</v>
      </c>
      <c r="T76" s="3">
        <v>2.1800000000000002</v>
      </c>
      <c r="U76" s="3">
        <v>1.91</v>
      </c>
      <c r="V76" s="3">
        <f>24.7*30/1000</f>
        <v>0.74099999999999999</v>
      </c>
      <c r="W76" s="3" t="s">
        <v>60</v>
      </c>
      <c r="X76" s="3">
        <v>200</v>
      </c>
      <c r="Y76" s="7">
        <v>41609</v>
      </c>
      <c r="Z76" s="3">
        <v>111.7</v>
      </c>
      <c r="AA76" s="3">
        <v>2</v>
      </c>
      <c r="AB76" s="3">
        <v>2.2200000000000002</v>
      </c>
      <c r="AC76" s="3">
        <f>111.7*50/1000</f>
        <v>5.585</v>
      </c>
      <c r="AD76" s="3" t="s">
        <v>44</v>
      </c>
      <c r="AE76" s="3">
        <f>V76/AC76</f>
        <v>0.13267681289167413</v>
      </c>
      <c r="AF76" s="7">
        <v>41609</v>
      </c>
      <c r="AG76" s="3" t="s">
        <v>53</v>
      </c>
    </row>
    <row r="77" spans="1:46">
      <c r="A77" s="3">
        <v>52.1</v>
      </c>
      <c r="B77" s="3" t="s">
        <v>155</v>
      </c>
      <c r="C77" s="3" t="s">
        <v>164</v>
      </c>
      <c r="D77" s="3">
        <v>-21.790099999999999</v>
      </c>
      <c r="E77" s="3">
        <v>-154.7037</v>
      </c>
      <c r="F77" s="1" t="s">
        <v>139</v>
      </c>
      <c r="G77" s="3" t="s">
        <v>168</v>
      </c>
      <c r="H77" s="10">
        <v>41384</v>
      </c>
      <c r="I77" s="9">
        <v>0.51388888888888895</v>
      </c>
      <c r="J77" s="3">
        <v>27</v>
      </c>
      <c r="K77" s="3">
        <v>26.8</v>
      </c>
      <c r="L77" s="3">
        <v>35.700000000000003</v>
      </c>
      <c r="M77" s="3">
        <v>16.5</v>
      </c>
      <c r="N77" s="3" t="s">
        <v>161</v>
      </c>
      <c r="O77" s="3">
        <v>60</v>
      </c>
      <c r="P77" s="3">
        <v>10.3</v>
      </c>
      <c r="Q77" s="3">
        <v>58.9</v>
      </c>
      <c r="R77" s="2" t="s">
        <v>37</v>
      </c>
      <c r="S77" s="3">
        <v>44.4</v>
      </c>
      <c r="T77" s="3">
        <v>2.08</v>
      </c>
      <c r="U77" s="3">
        <v>0.46</v>
      </c>
      <c r="V77" s="3">
        <f>44.4*30/1000</f>
        <v>1.3320000000000001</v>
      </c>
      <c r="W77" s="3" t="s">
        <v>47</v>
      </c>
      <c r="X77" s="3">
        <v>200</v>
      </c>
      <c r="Y77" s="7">
        <v>41640</v>
      </c>
      <c r="Z77" s="3">
        <v>6.9</v>
      </c>
      <c r="AA77" s="3">
        <v>1.64</v>
      </c>
      <c r="AB77" s="3">
        <v>0.16</v>
      </c>
      <c r="AC77" s="3">
        <f>6.9*50/1000</f>
        <v>0.34499999999999997</v>
      </c>
      <c r="AD77" s="3" t="s">
        <v>64</v>
      </c>
      <c r="AE77" s="3">
        <f>V77/AC77</f>
        <v>3.8608695652173917</v>
      </c>
      <c r="AF77" s="7">
        <v>41640</v>
      </c>
      <c r="AG77" s="3" t="s">
        <v>53</v>
      </c>
    </row>
    <row r="78" spans="1:46">
      <c r="A78" s="3">
        <v>52.2</v>
      </c>
      <c r="B78" s="3" t="s">
        <v>155</v>
      </c>
      <c r="C78" s="3" t="s">
        <v>164</v>
      </c>
      <c r="D78" s="3">
        <v>-21.790099999999999</v>
      </c>
      <c r="E78" s="3">
        <v>-154.7037</v>
      </c>
      <c r="F78" s="1" t="s">
        <v>139</v>
      </c>
      <c r="H78" s="10">
        <v>41384</v>
      </c>
      <c r="I78" s="9">
        <v>0.51388888888888895</v>
      </c>
      <c r="J78" s="3">
        <v>27</v>
      </c>
      <c r="K78" s="3">
        <v>26.8</v>
      </c>
      <c r="L78" s="3">
        <v>35.700000000000003</v>
      </c>
      <c r="M78" s="3">
        <v>16.5</v>
      </c>
      <c r="N78" s="3" t="s">
        <v>161</v>
      </c>
      <c r="O78" s="3">
        <v>60</v>
      </c>
      <c r="P78" s="3">
        <v>10.3</v>
      </c>
      <c r="Q78" s="3">
        <v>58.9</v>
      </c>
      <c r="R78" s="2" t="s">
        <v>37</v>
      </c>
      <c r="Y78" s="7"/>
      <c r="AF78" s="7"/>
    </row>
    <row r="79" spans="1:46">
      <c r="A79" s="3">
        <v>54.1</v>
      </c>
      <c r="B79" s="3" t="s">
        <v>155</v>
      </c>
      <c r="C79" s="3" t="s">
        <v>169</v>
      </c>
      <c r="D79" s="3">
        <v>-21.82</v>
      </c>
      <c r="E79" s="3">
        <v>-154.72389999999999</v>
      </c>
      <c r="F79" s="1" t="s">
        <v>128</v>
      </c>
      <c r="G79" s="3" t="s">
        <v>170</v>
      </c>
      <c r="H79" s="10">
        <v>41384</v>
      </c>
      <c r="I79" s="9">
        <v>0.68055555555555547</v>
      </c>
      <c r="J79" s="3">
        <v>26</v>
      </c>
      <c r="K79" s="3">
        <v>26.8</v>
      </c>
      <c r="L79" s="3">
        <v>35.700000000000003</v>
      </c>
      <c r="M79" s="3">
        <v>14.5</v>
      </c>
      <c r="N79" s="3" t="s">
        <v>171</v>
      </c>
      <c r="O79" s="3">
        <v>60</v>
      </c>
      <c r="P79" s="3">
        <v>4.5</v>
      </c>
      <c r="Q79" s="3">
        <v>10.6</v>
      </c>
      <c r="R79" s="2" t="s">
        <v>37</v>
      </c>
    </row>
    <row r="80" spans="1:46">
      <c r="A80" s="3">
        <v>54.2</v>
      </c>
      <c r="B80" s="3" t="s">
        <v>155</v>
      </c>
      <c r="C80" s="3" t="s">
        <v>169</v>
      </c>
      <c r="D80" s="3">
        <v>-21.82</v>
      </c>
      <c r="E80" s="3">
        <v>-154.72389999999999</v>
      </c>
      <c r="F80" s="1" t="s">
        <v>128</v>
      </c>
      <c r="G80" s="3" t="s">
        <v>170</v>
      </c>
      <c r="H80" s="10">
        <v>41384</v>
      </c>
      <c r="I80" s="9">
        <v>0.68055555555555547</v>
      </c>
      <c r="J80" s="3">
        <v>26</v>
      </c>
      <c r="K80" s="3">
        <v>26.8</v>
      </c>
      <c r="L80" s="3">
        <v>35.700000000000003</v>
      </c>
      <c r="M80" s="3">
        <v>14.5</v>
      </c>
      <c r="N80" s="3" t="s">
        <v>171</v>
      </c>
      <c r="O80" s="3">
        <v>60</v>
      </c>
      <c r="P80" s="3">
        <v>4.5</v>
      </c>
      <c r="Q80" s="3">
        <v>10.6</v>
      </c>
      <c r="R80" s="2" t="s">
        <v>37</v>
      </c>
      <c r="S80" s="3">
        <v>21.5</v>
      </c>
      <c r="T80" s="3">
        <v>2.2000000000000002</v>
      </c>
      <c r="U80" s="3">
        <v>0.37</v>
      </c>
      <c r="V80" s="3">
        <f>21.5*30/1000</f>
        <v>0.64500000000000002</v>
      </c>
      <c r="W80" s="3" t="s">
        <v>60</v>
      </c>
      <c r="X80" s="3">
        <v>200</v>
      </c>
      <c r="Y80" s="7">
        <v>41640</v>
      </c>
      <c r="Z80" s="3">
        <v>96.5</v>
      </c>
      <c r="AA80" s="3">
        <v>1.98</v>
      </c>
      <c r="AB80" s="3">
        <v>0.6</v>
      </c>
      <c r="AC80" s="3">
        <f>50*96.5/1000</f>
        <v>4.8250000000000002</v>
      </c>
      <c r="AD80" s="3" t="s">
        <v>44</v>
      </c>
      <c r="AE80" s="3">
        <f>V80/AC80</f>
        <v>0.13367875647668392</v>
      </c>
      <c r="AF80" s="7">
        <v>41640</v>
      </c>
      <c r="AG80" s="3" t="s">
        <v>53</v>
      </c>
    </row>
    <row r="81" spans="1:46">
      <c r="A81" s="3">
        <v>55.1</v>
      </c>
      <c r="B81" s="3" t="s">
        <v>155</v>
      </c>
      <c r="C81" s="3" t="s">
        <v>169</v>
      </c>
      <c r="D81" s="3">
        <v>-21.82</v>
      </c>
      <c r="E81" s="3">
        <v>-154.72389999999999</v>
      </c>
      <c r="F81" s="1" t="s">
        <v>139</v>
      </c>
      <c r="G81" s="3" t="s">
        <v>168</v>
      </c>
      <c r="H81" s="10">
        <v>41384</v>
      </c>
      <c r="I81" s="9">
        <v>0.6875</v>
      </c>
      <c r="J81" s="3">
        <v>26</v>
      </c>
      <c r="K81" s="3">
        <v>26.8</v>
      </c>
      <c r="L81" s="3">
        <v>35.700000000000003</v>
      </c>
      <c r="M81" s="3">
        <v>14</v>
      </c>
      <c r="N81" s="3" t="s">
        <v>171</v>
      </c>
      <c r="O81" s="3">
        <v>60</v>
      </c>
      <c r="P81" s="3">
        <v>12.7</v>
      </c>
      <c r="Q81" s="3">
        <v>85.9</v>
      </c>
      <c r="R81" s="2" t="s">
        <v>37</v>
      </c>
      <c r="S81" s="3">
        <v>60.6</v>
      </c>
      <c r="T81" s="3">
        <v>2.2400000000000002</v>
      </c>
      <c r="U81" s="3">
        <v>0.63</v>
      </c>
      <c r="V81" s="3">
        <f>60.6*30/1000</f>
        <v>1.8180000000000001</v>
      </c>
      <c r="W81" s="3" t="s">
        <v>47</v>
      </c>
      <c r="X81" s="3">
        <v>200</v>
      </c>
      <c r="Y81" s="7">
        <v>41609</v>
      </c>
      <c r="Z81" s="3">
        <v>123.5</v>
      </c>
      <c r="AA81" s="3">
        <v>1.94</v>
      </c>
      <c r="AB81" s="3">
        <v>0.4</v>
      </c>
      <c r="AC81" s="3">
        <f>123.5*50/1000</f>
        <v>6.1749999999999998</v>
      </c>
      <c r="AD81" s="3" t="s">
        <v>44</v>
      </c>
      <c r="AE81" s="3">
        <f>V81/AC81</f>
        <v>0.29441295546558705</v>
      </c>
      <c r="AF81" s="7">
        <v>41609</v>
      </c>
      <c r="AG81" s="3" t="s">
        <v>79</v>
      </c>
    </row>
    <row r="82" spans="1:46">
      <c r="A82" s="3">
        <v>56.1</v>
      </c>
      <c r="B82" s="3" t="s">
        <v>155</v>
      </c>
      <c r="C82" s="3" t="s">
        <v>169</v>
      </c>
      <c r="D82" s="3">
        <v>-21.82</v>
      </c>
      <c r="E82" s="3">
        <v>-154.72389999999999</v>
      </c>
      <c r="F82" s="1" t="s">
        <v>159</v>
      </c>
      <c r="G82" s="3" t="s">
        <v>106</v>
      </c>
      <c r="H82" s="10">
        <v>41384</v>
      </c>
      <c r="I82" s="9">
        <v>0.69444444444444453</v>
      </c>
      <c r="J82" s="3">
        <v>26</v>
      </c>
      <c r="K82" s="3">
        <v>26.8</v>
      </c>
      <c r="L82" s="3">
        <v>35.700000000000003</v>
      </c>
      <c r="M82" s="3">
        <v>13</v>
      </c>
      <c r="N82" s="3" t="s">
        <v>171</v>
      </c>
      <c r="O82" s="3">
        <v>60</v>
      </c>
      <c r="P82" s="3">
        <v>9.8000000000000007</v>
      </c>
      <c r="Q82" s="3">
        <v>44.6</v>
      </c>
      <c r="R82" s="2" t="s">
        <v>37</v>
      </c>
      <c r="S82" s="3">
        <v>38.4</v>
      </c>
      <c r="T82" s="3">
        <v>2.27</v>
      </c>
      <c r="U82" s="3">
        <v>0.25</v>
      </c>
      <c r="V82" s="3">
        <f>38.4*30/1000</f>
        <v>1.1519999999999999</v>
      </c>
      <c r="W82" s="3" t="s">
        <v>47</v>
      </c>
      <c r="X82" s="3">
        <v>200</v>
      </c>
      <c r="Y82" s="7">
        <v>41609</v>
      </c>
      <c r="Z82" s="3" t="s">
        <v>38</v>
      </c>
      <c r="AG82" s="3" t="s">
        <v>53</v>
      </c>
    </row>
    <row r="83" spans="1:46">
      <c r="A83" s="3">
        <v>56.2</v>
      </c>
      <c r="B83" s="13" t="s">
        <v>155</v>
      </c>
      <c r="C83" s="13" t="s">
        <v>169</v>
      </c>
      <c r="D83" s="13">
        <v>-21.82</v>
      </c>
      <c r="E83" s="13">
        <v>-154.72389999999999</v>
      </c>
      <c r="F83" s="13" t="s">
        <v>70</v>
      </c>
      <c r="H83" s="14">
        <v>41384</v>
      </c>
      <c r="I83" s="15">
        <v>0.69444444444444453</v>
      </c>
      <c r="J83" s="13">
        <v>26</v>
      </c>
      <c r="K83" s="13">
        <v>26.8</v>
      </c>
      <c r="L83" s="13">
        <v>35.700000000000003</v>
      </c>
      <c r="M83" s="13">
        <v>13</v>
      </c>
      <c r="N83" s="13" t="s">
        <v>171</v>
      </c>
      <c r="O83" s="13">
        <v>60</v>
      </c>
      <c r="P83" s="13">
        <v>9.8000000000000007</v>
      </c>
      <c r="Q83" s="13">
        <v>44.6</v>
      </c>
      <c r="R83" s="13" t="s">
        <v>37</v>
      </c>
      <c r="Y83" s="7"/>
    </row>
    <row r="84" spans="1:46">
      <c r="A84" s="3">
        <v>53.1</v>
      </c>
      <c r="B84" s="3" t="s">
        <v>155</v>
      </c>
      <c r="C84" s="3" t="s">
        <v>172</v>
      </c>
      <c r="D84" s="3" t="s">
        <v>72</v>
      </c>
      <c r="F84" s="1" t="s">
        <v>139</v>
      </c>
      <c r="G84" s="3" t="s">
        <v>173</v>
      </c>
      <c r="H84" s="10">
        <v>41385</v>
      </c>
      <c r="I84" s="9">
        <v>0.3888888888888889</v>
      </c>
      <c r="J84" s="3">
        <v>27</v>
      </c>
      <c r="K84" s="3">
        <v>26.6</v>
      </c>
      <c r="L84" s="3">
        <v>35.700000000000003</v>
      </c>
      <c r="M84" s="3">
        <v>13.5</v>
      </c>
      <c r="N84" s="3" t="s">
        <v>84</v>
      </c>
      <c r="O84" s="3">
        <v>70</v>
      </c>
      <c r="P84" s="3">
        <v>11.1</v>
      </c>
      <c r="Q84" s="3">
        <v>77.5</v>
      </c>
      <c r="R84" s="2" t="s">
        <v>37</v>
      </c>
      <c r="S84" s="3">
        <v>65</v>
      </c>
      <c r="T84" s="3">
        <v>2.15</v>
      </c>
      <c r="U84" s="3">
        <v>0.26</v>
      </c>
      <c r="V84" s="3">
        <f>65*30/1000</f>
        <v>1.95</v>
      </c>
      <c r="W84" s="3" t="s">
        <v>47</v>
      </c>
      <c r="X84" s="3">
        <v>200</v>
      </c>
      <c r="Y84" s="7">
        <v>41640</v>
      </c>
      <c r="Z84" s="3">
        <v>65.599999999999994</v>
      </c>
      <c r="AA84" s="3">
        <v>2.0099999999999998</v>
      </c>
      <c r="AB84" s="3">
        <v>1.42</v>
      </c>
      <c r="AC84" s="3">
        <f>65.6*50/10000</f>
        <v>0.32799999999999996</v>
      </c>
      <c r="AD84" s="3" t="s">
        <v>44</v>
      </c>
      <c r="AE84" s="3">
        <f>V84/AC84</f>
        <v>5.9451219512195133</v>
      </c>
      <c r="AF84" s="7">
        <v>41640</v>
      </c>
      <c r="AG84" s="3" t="s">
        <v>53</v>
      </c>
    </row>
    <row r="85" spans="1:46">
      <c r="A85" s="3">
        <v>57.1</v>
      </c>
      <c r="B85" s="3" t="s">
        <v>155</v>
      </c>
      <c r="C85" s="3" t="s">
        <v>172</v>
      </c>
      <c r="D85" s="3">
        <v>-21.7972</v>
      </c>
      <c r="E85" s="3">
        <v>-154.6917</v>
      </c>
      <c r="F85" s="1" t="s">
        <v>139</v>
      </c>
      <c r="G85" s="3" t="s">
        <v>174</v>
      </c>
      <c r="H85" s="10">
        <v>41385</v>
      </c>
      <c r="I85" s="9">
        <v>0.39930555555555558</v>
      </c>
      <c r="J85" s="3">
        <v>26</v>
      </c>
      <c r="K85" s="3">
        <v>26.8</v>
      </c>
      <c r="L85" s="3">
        <v>35.700000000000003</v>
      </c>
      <c r="M85" s="3">
        <v>13</v>
      </c>
      <c r="N85" s="3" t="s">
        <v>84</v>
      </c>
      <c r="O85" s="3">
        <v>80</v>
      </c>
      <c r="P85" s="3">
        <v>8.8000000000000007</v>
      </c>
      <c r="Q85" s="3">
        <v>54.5</v>
      </c>
      <c r="R85" s="2" t="s">
        <v>37</v>
      </c>
      <c r="S85" s="3" t="s">
        <v>38</v>
      </c>
      <c r="Y85" s="7">
        <v>41640</v>
      </c>
      <c r="Z85" s="3">
        <v>14.7</v>
      </c>
      <c r="AA85" s="3">
        <v>1.97</v>
      </c>
      <c r="AB85" s="3">
        <v>0.38</v>
      </c>
      <c r="AC85" s="3">
        <f>14.7*50/1000</f>
        <v>0.73499999999999999</v>
      </c>
      <c r="AD85" s="3" t="s">
        <v>60</v>
      </c>
      <c r="AF85" s="7">
        <v>41640</v>
      </c>
      <c r="AG85" s="3" t="s">
        <v>53</v>
      </c>
    </row>
    <row r="86" spans="1:46">
      <c r="A86" s="3">
        <v>58.1</v>
      </c>
      <c r="B86" s="3" t="s">
        <v>155</v>
      </c>
      <c r="C86" s="3" t="s">
        <v>172</v>
      </c>
      <c r="D86" s="3">
        <v>-21.7972</v>
      </c>
      <c r="E86" s="3">
        <v>-154.6917</v>
      </c>
      <c r="F86" s="1" t="s">
        <v>139</v>
      </c>
      <c r="G86" s="3" t="s">
        <v>175</v>
      </c>
      <c r="H86" s="10">
        <v>41385</v>
      </c>
      <c r="I86" s="9">
        <v>0.40972222222222227</v>
      </c>
      <c r="J86" s="3">
        <v>26</v>
      </c>
      <c r="K86" s="3">
        <v>26.8</v>
      </c>
      <c r="L86" s="3">
        <v>35.700000000000003</v>
      </c>
      <c r="M86" s="3">
        <v>13.5</v>
      </c>
      <c r="N86" s="3" t="s">
        <v>84</v>
      </c>
      <c r="O86" s="3">
        <v>85</v>
      </c>
      <c r="P86" s="3">
        <v>9.6</v>
      </c>
      <c r="Q86" s="3">
        <v>47</v>
      </c>
      <c r="R86" s="2" t="s">
        <v>37</v>
      </c>
      <c r="S86" s="3">
        <v>26.1</v>
      </c>
      <c r="T86" s="3">
        <v>2.15</v>
      </c>
      <c r="U86" s="3">
        <v>1.1000000000000001</v>
      </c>
      <c r="V86" s="3">
        <f>26.1*30/1000</f>
        <v>0.78300000000000003</v>
      </c>
      <c r="W86" s="3" t="s">
        <v>60</v>
      </c>
      <c r="X86" s="3">
        <v>200</v>
      </c>
      <c r="Y86" s="7">
        <v>41640</v>
      </c>
      <c r="Z86" s="3">
        <v>98</v>
      </c>
      <c r="AA86" s="3">
        <v>1.1499999999999999</v>
      </c>
      <c r="AB86" s="3">
        <v>0.62</v>
      </c>
      <c r="AC86" s="3">
        <f>98*50/1000</f>
        <v>4.9000000000000004</v>
      </c>
      <c r="AD86" s="3" t="s">
        <v>44</v>
      </c>
      <c r="AE86" s="3">
        <f>V86/AC86</f>
        <v>0.15979591836734694</v>
      </c>
      <c r="AF86" s="7">
        <v>41640</v>
      </c>
      <c r="AG86" s="3" t="s">
        <v>53</v>
      </c>
    </row>
    <row r="87" spans="1:46">
      <c r="A87" s="3">
        <v>59.1</v>
      </c>
      <c r="B87" s="3" t="s">
        <v>155</v>
      </c>
      <c r="C87" s="3" t="s">
        <v>176</v>
      </c>
      <c r="D87" s="3">
        <v>-21.800799999999999</v>
      </c>
      <c r="E87" s="3">
        <v>-154.71799999999999</v>
      </c>
      <c r="F87" s="1" t="s">
        <v>139</v>
      </c>
      <c r="G87" s="3" t="s">
        <v>177</v>
      </c>
      <c r="H87" s="10">
        <v>41385</v>
      </c>
      <c r="I87" s="9">
        <v>0.4861111111111111</v>
      </c>
      <c r="J87" s="3">
        <v>26</v>
      </c>
      <c r="K87" s="3">
        <v>26.6</v>
      </c>
      <c r="L87" s="3">
        <v>35.700000000000003</v>
      </c>
      <c r="M87" s="3">
        <v>14</v>
      </c>
      <c r="N87" s="3" t="s">
        <v>84</v>
      </c>
      <c r="O87" s="3">
        <v>90</v>
      </c>
      <c r="P87" s="3">
        <v>12.3</v>
      </c>
      <c r="Q87" s="3">
        <v>86</v>
      </c>
      <c r="R87" s="2" t="s">
        <v>37</v>
      </c>
      <c r="S87" s="3">
        <v>54.3</v>
      </c>
      <c r="T87" s="3">
        <v>2.1</v>
      </c>
      <c r="U87" s="3">
        <v>0.48</v>
      </c>
      <c r="V87" s="3">
        <f>54.3*30/1000</f>
        <v>1.629</v>
      </c>
      <c r="W87" s="3" t="s">
        <v>47</v>
      </c>
      <c r="X87" s="3">
        <v>200</v>
      </c>
      <c r="Y87" s="7">
        <v>41640</v>
      </c>
      <c r="Z87" s="3">
        <v>79.7</v>
      </c>
      <c r="AA87" s="3">
        <v>2</v>
      </c>
      <c r="AB87" s="3">
        <v>1.39</v>
      </c>
      <c r="AC87" s="3">
        <f>50*79.7/1000</f>
        <v>3.9849999999999999</v>
      </c>
      <c r="AD87" s="3" t="s">
        <v>44</v>
      </c>
      <c r="AE87" s="3">
        <f>V87/AC87</f>
        <v>0.40878293601003768</v>
      </c>
      <c r="AF87" s="7">
        <v>41640</v>
      </c>
      <c r="AG87" s="3" t="s">
        <v>53</v>
      </c>
    </row>
    <row r="88" spans="1:46">
      <c r="A88" s="3">
        <v>60.1</v>
      </c>
      <c r="B88" s="3" t="s">
        <v>155</v>
      </c>
      <c r="C88" s="3" t="s">
        <v>176</v>
      </c>
      <c r="D88" s="3">
        <v>-21.800799999999999</v>
      </c>
      <c r="E88" s="3">
        <v>-154.71799999999999</v>
      </c>
      <c r="F88" s="1" t="s">
        <v>139</v>
      </c>
      <c r="G88" s="3" t="s">
        <v>179</v>
      </c>
      <c r="H88" s="10">
        <v>41385</v>
      </c>
      <c r="I88" s="9">
        <v>0.48958333333333331</v>
      </c>
      <c r="J88" s="3">
        <v>26</v>
      </c>
      <c r="K88" s="3">
        <v>26.6</v>
      </c>
      <c r="L88" s="3">
        <v>35.700000000000003</v>
      </c>
      <c r="M88" s="3">
        <v>9</v>
      </c>
      <c r="N88" s="3" t="s">
        <v>84</v>
      </c>
      <c r="O88" s="3">
        <v>90</v>
      </c>
      <c r="P88" s="3">
        <v>10</v>
      </c>
      <c r="Q88" s="3">
        <v>52.3</v>
      </c>
      <c r="R88" s="2" t="s">
        <v>37</v>
      </c>
    </row>
    <row r="89" spans="1:46">
      <c r="A89" s="3">
        <v>60.2</v>
      </c>
      <c r="B89" s="3" t="s">
        <v>155</v>
      </c>
      <c r="C89" s="3" t="s">
        <v>176</v>
      </c>
      <c r="D89" s="3">
        <v>-21.800799999999999</v>
      </c>
      <c r="E89" s="3">
        <v>-154.71799999999999</v>
      </c>
      <c r="F89" s="1" t="s">
        <v>139</v>
      </c>
      <c r="G89" s="3" t="s">
        <v>179</v>
      </c>
      <c r="H89" s="10">
        <v>41385</v>
      </c>
      <c r="I89" s="9">
        <v>0.48958333333333331</v>
      </c>
      <c r="J89" s="3">
        <v>26</v>
      </c>
      <c r="K89" s="3">
        <v>26.6</v>
      </c>
      <c r="L89" s="3">
        <v>35.700000000000003</v>
      </c>
      <c r="M89" s="3">
        <v>9</v>
      </c>
      <c r="N89" s="3" t="s">
        <v>84</v>
      </c>
      <c r="O89" s="3">
        <v>90</v>
      </c>
      <c r="P89" s="3">
        <v>10</v>
      </c>
      <c r="Q89" s="3">
        <v>52.3</v>
      </c>
      <c r="R89" s="2" t="s">
        <v>37</v>
      </c>
      <c r="S89" s="3">
        <v>45.7</v>
      </c>
      <c r="T89" s="3">
        <v>2.0299999999999998</v>
      </c>
      <c r="U89" s="3">
        <v>0.84</v>
      </c>
      <c r="V89" s="3">
        <f>45.7*30/1000</f>
        <v>1.371</v>
      </c>
      <c r="W89" s="3" t="s">
        <v>47</v>
      </c>
      <c r="X89" s="3">
        <v>200</v>
      </c>
      <c r="Y89" s="7">
        <v>41640</v>
      </c>
      <c r="Z89" s="3">
        <v>85.1</v>
      </c>
      <c r="AA89" s="3">
        <v>1.94</v>
      </c>
      <c r="AB89" s="3">
        <v>0.57999999999999996</v>
      </c>
      <c r="AC89" s="3">
        <f>85.1*50/1000</f>
        <v>4.2549999999999999</v>
      </c>
      <c r="AD89" s="3" t="s">
        <v>44</v>
      </c>
      <c r="AE89" s="3">
        <f>V89/AC89</f>
        <v>0.32220916568742658</v>
      </c>
      <c r="AF89" s="7">
        <v>41640</v>
      </c>
      <c r="AG89" s="3" t="s">
        <v>53</v>
      </c>
      <c r="AH89" s="3" t="s">
        <v>28</v>
      </c>
    </row>
    <row r="90" spans="1:46">
      <c r="A90" s="11">
        <v>61.1</v>
      </c>
      <c r="B90" s="11" t="s">
        <v>155</v>
      </c>
      <c r="C90" s="11" t="s">
        <v>176</v>
      </c>
      <c r="D90" s="11">
        <v>-21.800799999999999</v>
      </c>
      <c r="E90" s="11">
        <v>-154.71799999999999</v>
      </c>
      <c r="F90" s="1" t="s">
        <v>139</v>
      </c>
      <c r="G90" s="11" t="s">
        <v>175</v>
      </c>
      <c r="H90" s="34">
        <v>41385</v>
      </c>
      <c r="I90" s="35">
        <v>0.5</v>
      </c>
      <c r="J90" s="11">
        <v>26</v>
      </c>
      <c r="K90" s="11">
        <v>26.6</v>
      </c>
      <c r="L90" s="11">
        <v>35.700000000000003</v>
      </c>
      <c r="M90" s="11">
        <v>6.5</v>
      </c>
      <c r="N90" s="11" t="s">
        <v>84</v>
      </c>
      <c r="O90" s="11">
        <v>90</v>
      </c>
      <c r="P90" s="11">
        <v>10.8</v>
      </c>
      <c r="Q90" s="11">
        <v>38.799999999999997</v>
      </c>
      <c r="R90" s="16" t="s">
        <v>37</v>
      </c>
      <c r="S90" s="11">
        <v>14.8</v>
      </c>
      <c r="T90" s="11">
        <v>2.15</v>
      </c>
      <c r="U90" s="11">
        <v>0.75</v>
      </c>
      <c r="V90" s="11">
        <f>14.8*30/1000</f>
        <v>0.44400000000000001</v>
      </c>
      <c r="W90" s="11"/>
      <c r="X90" s="11"/>
      <c r="Y90" s="11"/>
      <c r="Z90" s="11">
        <v>2</v>
      </c>
      <c r="AA90" s="11">
        <v>1.8</v>
      </c>
      <c r="AB90" s="11">
        <v>0.04</v>
      </c>
      <c r="AC90" s="11">
        <f>50*2/1000</f>
        <v>0.1</v>
      </c>
      <c r="AD90" s="11" t="s">
        <v>42</v>
      </c>
      <c r="AE90" s="3">
        <f>V90/AC90</f>
        <v>4.4399999999999995</v>
      </c>
      <c r="AF90" s="11">
        <f>AVERAGE(AE90:AE91)</f>
        <v>2.5219108280254776</v>
      </c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>
      <c r="A91" s="19">
        <v>61.2</v>
      </c>
      <c r="B91" s="19" t="s">
        <v>155</v>
      </c>
      <c r="C91" s="19" t="s">
        <v>176</v>
      </c>
      <c r="D91" s="19">
        <v>-21.800799999999999</v>
      </c>
      <c r="E91" s="19">
        <v>-154.71799999999999</v>
      </c>
      <c r="F91" s="1" t="s">
        <v>139</v>
      </c>
      <c r="G91" s="19" t="s">
        <v>175</v>
      </c>
      <c r="H91" s="20">
        <v>41385</v>
      </c>
      <c r="I91" s="21">
        <v>0.5</v>
      </c>
      <c r="J91" s="19">
        <v>26</v>
      </c>
      <c r="K91" s="19">
        <v>26.6</v>
      </c>
      <c r="L91" s="19">
        <v>35.700000000000003</v>
      </c>
      <c r="M91" s="19">
        <v>6.5</v>
      </c>
      <c r="N91" s="19" t="s">
        <v>84</v>
      </c>
      <c r="O91" s="19">
        <v>90</v>
      </c>
      <c r="P91" s="19">
        <v>10.8</v>
      </c>
      <c r="Q91" s="19">
        <v>38.799999999999997</v>
      </c>
      <c r="R91" s="17" t="s">
        <v>37</v>
      </c>
      <c r="S91" s="19">
        <v>79</v>
      </c>
      <c r="T91" s="19">
        <v>2.1800000000000002</v>
      </c>
      <c r="U91" s="19">
        <v>0.35</v>
      </c>
      <c r="V91" s="19">
        <f>30*79/1000</f>
        <v>2.37</v>
      </c>
      <c r="W91" s="19" t="s">
        <v>47</v>
      </c>
      <c r="X91" s="19">
        <v>200</v>
      </c>
      <c r="Y91" s="8">
        <v>41640</v>
      </c>
      <c r="Z91" s="19">
        <v>78.5</v>
      </c>
      <c r="AA91" s="19">
        <v>1.92</v>
      </c>
      <c r="AB91" s="19">
        <v>1.6</v>
      </c>
      <c r="AC91" s="19">
        <f>50*78.5/1000</f>
        <v>3.9249999999999998</v>
      </c>
      <c r="AD91" s="19" t="s">
        <v>44</v>
      </c>
      <c r="AE91" s="3">
        <f>V91/AC91</f>
        <v>0.6038216560509555</v>
      </c>
      <c r="AF91" s="31">
        <v>41640</v>
      </c>
      <c r="AG91" s="3" t="s">
        <v>53</v>
      </c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</row>
    <row r="92" spans="1:46">
      <c r="A92" s="3">
        <v>62.1</v>
      </c>
      <c r="B92" s="3" t="s">
        <v>181</v>
      </c>
      <c r="C92" s="3" t="s">
        <v>182</v>
      </c>
      <c r="D92" s="3">
        <v>-21.194099999999999</v>
      </c>
      <c r="E92" s="3">
        <v>-159.8091</v>
      </c>
      <c r="F92" s="1" t="s">
        <v>82</v>
      </c>
      <c r="G92" s="3" t="s">
        <v>183</v>
      </c>
      <c r="H92" s="10">
        <v>41386</v>
      </c>
      <c r="I92" s="9">
        <v>0.63194444444444442</v>
      </c>
      <c r="J92" s="3">
        <v>27</v>
      </c>
      <c r="K92" s="3">
        <v>27.4</v>
      </c>
      <c r="L92" s="3">
        <v>35.700000000000003</v>
      </c>
      <c r="M92" s="3">
        <v>15</v>
      </c>
      <c r="N92" s="3" t="s">
        <v>184</v>
      </c>
      <c r="O92" s="3">
        <v>15</v>
      </c>
      <c r="P92" s="3">
        <v>6.1</v>
      </c>
      <c r="Q92" s="3">
        <v>23</v>
      </c>
      <c r="R92" s="2" t="s">
        <v>37</v>
      </c>
    </row>
    <row r="93" spans="1:46">
      <c r="A93" s="3">
        <v>62.2</v>
      </c>
      <c r="B93" s="3" t="s">
        <v>181</v>
      </c>
      <c r="C93" s="3" t="s">
        <v>182</v>
      </c>
      <c r="D93" s="3">
        <v>-21.194099999999999</v>
      </c>
      <c r="E93" s="3">
        <v>-159.8091</v>
      </c>
      <c r="F93" s="1" t="s">
        <v>82</v>
      </c>
      <c r="G93" s="3" t="s">
        <v>183</v>
      </c>
      <c r="H93" s="10">
        <v>41386</v>
      </c>
      <c r="I93" s="9">
        <v>0.63194444444444442</v>
      </c>
      <c r="J93" s="3">
        <v>27</v>
      </c>
      <c r="K93" s="3">
        <v>27.4</v>
      </c>
      <c r="L93" s="3">
        <v>35.700000000000003</v>
      </c>
      <c r="M93" s="3">
        <v>15</v>
      </c>
      <c r="N93" s="3" t="s">
        <v>184</v>
      </c>
      <c r="O93" s="3">
        <v>15</v>
      </c>
      <c r="P93" s="3">
        <v>6.1</v>
      </c>
      <c r="Q93" s="3">
        <v>23</v>
      </c>
      <c r="R93" s="2" t="s">
        <v>37</v>
      </c>
      <c r="S93" s="3">
        <v>32.5</v>
      </c>
      <c r="T93" s="3">
        <v>2.2400000000000002</v>
      </c>
      <c r="U93" s="3">
        <v>0.18</v>
      </c>
      <c r="V93" s="3">
        <f>30*32.5/1000</f>
        <v>0.97499999999999998</v>
      </c>
      <c r="W93" s="3" t="s">
        <v>47</v>
      </c>
      <c r="X93" s="3">
        <v>200</v>
      </c>
      <c r="Y93" s="7">
        <v>41609</v>
      </c>
      <c r="Z93" s="3">
        <v>166.7</v>
      </c>
      <c r="AA93" s="3">
        <v>1.96</v>
      </c>
      <c r="AB93" s="3">
        <v>0.77</v>
      </c>
      <c r="AC93" s="3">
        <f>50*166.7/1000</f>
        <v>8.3350000000000009</v>
      </c>
      <c r="AD93" s="3" t="s">
        <v>44</v>
      </c>
      <c r="AE93" s="3">
        <f>V93/AC93</f>
        <v>0.11697660467906418</v>
      </c>
      <c r="AF93" s="7">
        <v>41609</v>
      </c>
      <c r="AG93" s="3" t="s">
        <v>53</v>
      </c>
    </row>
    <row r="94" spans="1:46">
      <c r="A94" s="3">
        <v>63</v>
      </c>
      <c r="B94" s="3" t="s">
        <v>181</v>
      </c>
      <c r="C94" s="3" t="s">
        <v>182</v>
      </c>
      <c r="D94" s="3">
        <v>-21.194099999999999</v>
      </c>
      <c r="E94" s="3">
        <v>-159.8091</v>
      </c>
      <c r="F94" s="2" t="s">
        <v>159</v>
      </c>
      <c r="G94" s="3" t="s">
        <v>185</v>
      </c>
      <c r="H94" s="10">
        <v>41386</v>
      </c>
      <c r="I94" s="9">
        <v>0.64236111111111105</v>
      </c>
      <c r="J94" s="3">
        <v>27</v>
      </c>
      <c r="K94" s="3">
        <v>27.4</v>
      </c>
      <c r="L94" s="3">
        <v>35.700000000000003</v>
      </c>
      <c r="M94" s="3">
        <v>15</v>
      </c>
      <c r="N94" s="3" t="s">
        <v>184</v>
      </c>
      <c r="O94" s="3">
        <v>15</v>
      </c>
      <c r="P94" s="3">
        <v>6.7</v>
      </c>
      <c r="Q94" s="3">
        <v>28.9</v>
      </c>
      <c r="R94" s="2" t="s">
        <v>37</v>
      </c>
    </row>
    <row r="95" spans="1:46">
      <c r="A95" s="3">
        <v>64.099999999999994</v>
      </c>
      <c r="B95" s="3" t="s">
        <v>181</v>
      </c>
      <c r="C95" s="3" t="s">
        <v>182</v>
      </c>
      <c r="D95" s="3">
        <v>-21.194099999999999</v>
      </c>
      <c r="E95" s="3">
        <v>-159.8091</v>
      </c>
      <c r="F95" s="1" t="s">
        <v>82</v>
      </c>
      <c r="G95" s="3" t="s">
        <v>186</v>
      </c>
      <c r="H95" s="10">
        <v>41386</v>
      </c>
      <c r="I95" s="9">
        <v>0.64930555555555558</v>
      </c>
      <c r="J95" s="3">
        <v>27</v>
      </c>
      <c r="K95" s="3">
        <v>27.4</v>
      </c>
      <c r="L95" s="3">
        <v>35.700000000000003</v>
      </c>
      <c r="M95" s="3">
        <v>16</v>
      </c>
      <c r="N95" s="3" t="s">
        <v>184</v>
      </c>
      <c r="O95" s="3">
        <v>15</v>
      </c>
      <c r="P95" s="3">
        <v>7.2</v>
      </c>
      <c r="Q95" s="3">
        <v>29.9</v>
      </c>
      <c r="R95" s="2" t="s">
        <v>37</v>
      </c>
    </row>
    <row r="96" spans="1:46">
      <c r="A96" s="3">
        <v>64.2</v>
      </c>
      <c r="B96" s="3" t="s">
        <v>181</v>
      </c>
      <c r="C96" s="3" t="s">
        <v>182</v>
      </c>
      <c r="D96" s="3">
        <v>-21.194099999999999</v>
      </c>
      <c r="E96" s="3">
        <v>-159.8091</v>
      </c>
      <c r="F96" s="1" t="s">
        <v>82</v>
      </c>
      <c r="G96" s="3" t="s">
        <v>186</v>
      </c>
      <c r="H96" s="10">
        <v>41386</v>
      </c>
      <c r="I96" s="9">
        <v>0.64930555555555558</v>
      </c>
      <c r="J96" s="3">
        <v>27</v>
      </c>
      <c r="K96" s="3">
        <v>27.4</v>
      </c>
      <c r="L96" s="3">
        <v>35.700000000000003</v>
      </c>
      <c r="M96" s="3">
        <v>16</v>
      </c>
      <c r="N96" s="3" t="s">
        <v>184</v>
      </c>
      <c r="O96" s="3">
        <v>15</v>
      </c>
      <c r="P96" s="3">
        <v>7.2</v>
      </c>
      <c r="Q96" s="3">
        <v>29.9</v>
      </c>
      <c r="R96" s="2" t="s">
        <v>37</v>
      </c>
      <c r="S96" s="3">
        <v>46.6</v>
      </c>
      <c r="T96" s="3">
        <v>2.16</v>
      </c>
      <c r="U96" s="3">
        <v>1.04</v>
      </c>
      <c r="V96" s="3">
        <f>46.6*30/1000</f>
        <v>1.3979999999999999</v>
      </c>
      <c r="W96" s="3" t="s">
        <v>47</v>
      </c>
      <c r="X96" s="3">
        <v>200</v>
      </c>
      <c r="Y96" s="7">
        <v>41640</v>
      </c>
      <c r="Z96" s="3">
        <v>6.1</v>
      </c>
      <c r="AA96" s="3">
        <v>1.51</v>
      </c>
      <c r="AB96" s="3">
        <v>1.53</v>
      </c>
      <c r="AC96" s="3">
        <f>6.1*50/1000</f>
        <v>0.30499999999999999</v>
      </c>
      <c r="AD96" s="3" t="s">
        <v>64</v>
      </c>
      <c r="AE96" s="3">
        <f>V96/AC96</f>
        <v>4.583606557377049</v>
      </c>
      <c r="AF96" s="7">
        <v>41640</v>
      </c>
      <c r="AG96" s="3" t="s">
        <v>53</v>
      </c>
    </row>
    <row r="97" spans="1:33">
      <c r="A97" s="3">
        <v>65.099999999999994</v>
      </c>
      <c r="B97" s="3" t="s">
        <v>181</v>
      </c>
      <c r="C97" s="3" t="s">
        <v>187</v>
      </c>
      <c r="D97" s="3" t="s">
        <v>72</v>
      </c>
      <c r="F97" s="1" t="s">
        <v>128</v>
      </c>
      <c r="G97" s="3" t="s">
        <v>178</v>
      </c>
      <c r="H97" s="10">
        <v>41387</v>
      </c>
      <c r="I97" s="9">
        <v>0.375</v>
      </c>
      <c r="J97" s="3">
        <v>26</v>
      </c>
      <c r="K97" s="3" t="s">
        <v>188</v>
      </c>
      <c r="L97" s="3" t="s">
        <v>188</v>
      </c>
      <c r="M97" s="3">
        <v>18.5</v>
      </c>
      <c r="N97" s="3" t="s">
        <v>189</v>
      </c>
      <c r="O97" s="18">
        <v>8</v>
      </c>
      <c r="P97" s="3">
        <v>7.3</v>
      </c>
      <c r="Q97" s="3">
        <v>28.8</v>
      </c>
      <c r="R97" s="2" t="s">
        <v>37</v>
      </c>
    </row>
    <row r="98" spans="1:33">
      <c r="A98" s="3">
        <v>65.2</v>
      </c>
      <c r="B98" s="3" t="s">
        <v>181</v>
      </c>
      <c r="C98" s="3" t="s">
        <v>187</v>
      </c>
      <c r="D98" s="3" t="s">
        <v>72</v>
      </c>
      <c r="F98" s="1" t="s">
        <v>128</v>
      </c>
      <c r="G98" s="3" t="s">
        <v>178</v>
      </c>
      <c r="H98" s="10">
        <v>41387</v>
      </c>
      <c r="I98" s="9">
        <v>0.375</v>
      </c>
      <c r="J98" s="3">
        <v>26</v>
      </c>
      <c r="K98" s="3" t="s">
        <v>188</v>
      </c>
      <c r="L98" s="3" t="s">
        <v>188</v>
      </c>
      <c r="M98" s="3">
        <v>18.5</v>
      </c>
      <c r="N98" s="3" t="s">
        <v>189</v>
      </c>
      <c r="O98" s="18">
        <v>8</v>
      </c>
      <c r="P98" s="3">
        <v>7.3</v>
      </c>
      <c r="Q98" s="3">
        <v>28.8</v>
      </c>
      <c r="R98" s="2" t="s">
        <v>37</v>
      </c>
      <c r="S98" s="3">
        <v>45.3</v>
      </c>
      <c r="T98" s="3">
        <v>2.15</v>
      </c>
      <c r="U98" s="3">
        <v>0.96</v>
      </c>
      <c r="V98" s="3">
        <f>45.3*30/1000</f>
        <v>1.359</v>
      </c>
      <c r="W98" s="3" t="s">
        <v>47</v>
      </c>
      <c r="X98" s="3">
        <v>200</v>
      </c>
      <c r="Y98" s="7">
        <v>41640</v>
      </c>
      <c r="Z98" s="3">
        <v>91.2</v>
      </c>
      <c r="AA98" s="3">
        <v>1.87</v>
      </c>
      <c r="AB98" s="3">
        <v>0.73</v>
      </c>
      <c r="AC98" s="3">
        <f>91.2*50/1000</f>
        <v>4.5599999999999996</v>
      </c>
      <c r="AD98" s="3" t="s">
        <v>44</v>
      </c>
      <c r="AE98" s="3">
        <f>V98/AC98</f>
        <v>0.29802631578947369</v>
      </c>
      <c r="AF98" s="7">
        <v>41640</v>
      </c>
      <c r="AG98" s="3" t="s">
        <v>53</v>
      </c>
    </row>
    <row r="99" spans="1:33">
      <c r="A99" s="3">
        <v>66.099999999999994</v>
      </c>
      <c r="B99" s="3" t="s">
        <v>181</v>
      </c>
      <c r="C99" s="3" t="s">
        <v>187</v>
      </c>
      <c r="D99" s="3">
        <v>-21.251300000000001</v>
      </c>
      <c r="E99" s="3">
        <v>-159.82900000000001</v>
      </c>
      <c r="F99" s="1" t="s">
        <v>128</v>
      </c>
      <c r="H99" s="10">
        <v>41387</v>
      </c>
      <c r="I99" s="9">
        <v>0.38541666666666669</v>
      </c>
      <c r="J99" s="3">
        <v>26</v>
      </c>
      <c r="K99" s="3" t="s">
        <v>188</v>
      </c>
      <c r="L99" s="3" t="s">
        <v>188</v>
      </c>
      <c r="M99" s="3">
        <v>18.5</v>
      </c>
      <c r="N99" s="3" t="s">
        <v>189</v>
      </c>
      <c r="O99" s="18">
        <v>6</v>
      </c>
      <c r="P99" s="3">
        <v>5.7</v>
      </c>
      <c r="Q99" s="3">
        <v>15.4</v>
      </c>
      <c r="R99" s="2" t="s">
        <v>37</v>
      </c>
    </row>
    <row r="100" spans="1:33">
      <c r="A100" s="3">
        <v>66.2</v>
      </c>
      <c r="B100" s="3" t="s">
        <v>181</v>
      </c>
      <c r="C100" s="3" t="s">
        <v>187</v>
      </c>
      <c r="D100" s="3">
        <v>-21.251300000000001</v>
      </c>
      <c r="E100" s="3">
        <v>-159.82900000000001</v>
      </c>
      <c r="F100" s="1" t="s">
        <v>128</v>
      </c>
      <c r="H100" s="10">
        <v>41387</v>
      </c>
      <c r="I100" s="9">
        <v>0.38541666666666669</v>
      </c>
      <c r="J100" s="3">
        <v>26</v>
      </c>
      <c r="K100" s="3" t="s">
        <v>188</v>
      </c>
      <c r="L100" s="3" t="s">
        <v>188</v>
      </c>
      <c r="M100" s="3">
        <v>18.5</v>
      </c>
      <c r="N100" s="3" t="s">
        <v>189</v>
      </c>
      <c r="O100" s="18">
        <v>6</v>
      </c>
      <c r="P100" s="3">
        <v>5.7</v>
      </c>
      <c r="Q100" s="3">
        <v>15.4</v>
      </c>
      <c r="R100" s="2" t="s">
        <v>37</v>
      </c>
      <c r="S100" s="3">
        <v>23</v>
      </c>
      <c r="T100" s="3">
        <v>2.25</v>
      </c>
      <c r="U100" s="3">
        <v>0.13</v>
      </c>
      <c r="V100" s="3">
        <f>23*30/1000</f>
        <v>0.69</v>
      </c>
      <c r="W100" s="3" t="s">
        <v>60</v>
      </c>
      <c r="X100" s="3">
        <v>200</v>
      </c>
      <c r="Y100" s="7">
        <v>41609</v>
      </c>
      <c r="Z100" s="3">
        <v>122.4</v>
      </c>
      <c r="AA100" s="3">
        <v>1.95</v>
      </c>
      <c r="AB100" s="3">
        <v>1.17</v>
      </c>
      <c r="AC100" s="3">
        <f>122.4*50/1000</f>
        <v>6.12</v>
      </c>
      <c r="AD100" s="3" t="s">
        <v>44</v>
      </c>
      <c r="AE100" s="3">
        <f>V100/AC100</f>
        <v>0.11274509803921567</v>
      </c>
      <c r="AF100" s="7">
        <v>41609</v>
      </c>
      <c r="AG100" s="3" t="s">
        <v>53</v>
      </c>
    </row>
    <row r="101" spans="1:33">
      <c r="A101" s="3">
        <v>67</v>
      </c>
      <c r="B101" s="3" t="s">
        <v>181</v>
      </c>
      <c r="C101" s="3" t="s">
        <v>190</v>
      </c>
      <c r="D101" s="3">
        <v>-21.2136</v>
      </c>
      <c r="E101" s="3">
        <v>-159.8331</v>
      </c>
      <c r="F101" s="2" t="s">
        <v>159</v>
      </c>
      <c r="G101" s="3" t="s">
        <v>191</v>
      </c>
      <c r="H101" s="10">
        <v>41387</v>
      </c>
      <c r="I101" s="9">
        <v>0.44791666666666669</v>
      </c>
      <c r="J101" s="3">
        <v>26</v>
      </c>
      <c r="K101" s="3" t="s">
        <v>188</v>
      </c>
      <c r="L101" s="3" t="s">
        <v>188</v>
      </c>
      <c r="M101" s="3">
        <v>20</v>
      </c>
      <c r="N101" s="3" t="s">
        <v>189</v>
      </c>
      <c r="O101" s="18">
        <v>7</v>
      </c>
      <c r="P101" s="3">
        <v>9.9</v>
      </c>
      <c r="Q101" s="3">
        <v>57.6</v>
      </c>
      <c r="R101" s="2" t="s">
        <v>37</v>
      </c>
    </row>
    <row r="102" spans="1:33">
      <c r="A102" s="3">
        <v>68.099999999999994</v>
      </c>
      <c r="B102" s="3" t="s">
        <v>181</v>
      </c>
      <c r="C102" s="3" t="s">
        <v>190</v>
      </c>
      <c r="D102" s="3">
        <v>-21.2136</v>
      </c>
      <c r="E102" s="3">
        <v>-159.8331</v>
      </c>
      <c r="F102" s="1" t="s">
        <v>82</v>
      </c>
      <c r="G102" s="3" t="s">
        <v>192</v>
      </c>
      <c r="H102" s="10">
        <v>41387</v>
      </c>
      <c r="I102" s="9">
        <v>0.4548611111111111</v>
      </c>
      <c r="J102" s="3">
        <v>26</v>
      </c>
      <c r="K102" s="3" t="s">
        <v>188</v>
      </c>
      <c r="L102" s="3" t="s">
        <v>188</v>
      </c>
      <c r="M102" s="3">
        <v>20</v>
      </c>
      <c r="N102" s="3" t="s">
        <v>189</v>
      </c>
      <c r="O102" s="18">
        <v>12</v>
      </c>
      <c r="P102" s="3">
        <v>12.6</v>
      </c>
      <c r="Q102" s="3">
        <v>36.200000000000003</v>
      </c>
      <c r="R102" s="2" t="s">
        <v>37</v>
      </c>
    </row>
    <row r="103" spans="1:33">
      <c r="A103" s="3">
        <v>68.2</v>
      </c>
      <c r="B103" s="3" t="s">
        <v>181</v>
      </c>
      <c r="C103" s="3" t="s">
        <v>190</v>
      </c>
      <c r="D103" s="3">
        <v>-21.2136</v>
      </c>
      <c r="E103" s="3">
        <v>-159.8331</v>
      </c>
      <c r="F103" s="2" t="s">
        <v>193</v>
      </c>
      <c r="G103" s="3" t="s">
        <v>192</v>
      </c>
      <c r="H103" s="10">
        <v>41387</v>
      </c>
      <c r="I103" s="9">
        <v>0.4548611111111111</v>
      </c>
      <c r="J103" s="3">
        <v>26</v>
      </c>
      <c r="K103" s="3" t="s">
        <v>188</v>
      </c>
      <c r="L103" s="3" t="s">
        <v>188</v>
      </c>
      <c r="M103" s="3">
        <v>20</v>
      </c>
      <c r="N103" s="3" t="s">
        <v>189</v>
      </c>
      <c r="O103" s="18">
        <v>12</v>
      </c>
      <c r="P103" s="3">
        <v>12.6</v>
      </c>
      <c r="Q103" s="3">
        <v>36.200000000000003</v>
      </c>
      <c r="R103" s="2" t="s">
        <v>37</v>
      </c>
      <c r="Y103" s="7">
        <v>41640</v>
      </c>
      <c r="Z103" s="3">
        <v>31.8</v>
      </c>
      <c r="AA103" s="3">
        <v>1.67</v>
      </c>
      <c r="AB103" s="3">
        <v>0.06</v>
      </c>
      <c r="AC103" s="3">
        <f>31.8*50/1000</f>
        <v>1.59</v>
      </c>
      <c r="AD103" s="3" t="s">
        <v>44</v>
      </c>
      <c r="AF103" s="7">
        <v>41640</v>
      </c>
      <c r="AG103" s="3" t="s">
        <v>53</v>
      </c>
    </row>
    <row r="104" spans="1:33">
      <c r="A104" s="3">
        <v>69</v>
      </c>
      <c r="B104" s="3" t="s">
        <v>181</v>
      </c>
      <c r="C104" s="3" t="s">
        <v>190</v>
      </c>
      <c r="D104" s="3">
        <v>-21.2136</v>
      </c>
      <c r="E104" s="3">
        <v>-159.8331</v>
      </c>
      <c r="F104" s="2" t="s">
        <v>159</v>
      </c>
      <c r="G104" s="3" t="s">
        <v>194</v>
      </c>
      <c r="H104" s="10">
        <v>41387</v>
      </c>
      <c r="I104" s="9">
        <v>0.46180555555555558</v>
      </c>
      <c r="J104" s="3">
        <v>26</v>
      </c>
      <c r="K104" s="3" t="s">
        <v>188</v>
      </c>
      <c r="L104" s="3" t="s">
        <v>188</v>
      </c>
      <c r="M104" s="3">
        <v>15</v>
      </c>
      <c r="N104" s="3" t="s">
        <v>189</v>
      </c>
      <c r="O104" s="18">
        <v>8</v>
      </c>
      <c r="P104" s="3">
        <v>11.7</v>
      </c>
      <c r="Q104" s="3">
        <v>85</v>
      </c>
      <c r="R104" s="2" t="s">
        <v>37</v>
      </c>
    </row>
    <row r="105" spans="1:33">
      <c r="A105" s="3">
        <v>70</v>
      </c>
      <c r="B105" s="3" t="s">
        <v>181</v>
      </c>
      <c r="C105" s="3" t="s">
        <v>190</v>
      </c>
      <c r="D105" s="3">
        <v>-21.2136</v>
      </c>
      <c r="E105" s="3">
        <v>-159.8331</v>
      </c>
      <c r="F105" s="2" t="s">
        <v>159</v>
      </c>
      <c r="G105" s="3" t="s">
        <v>194</v>
      </c>
      <c r="H105" s="10">
        <v>41387</v>
      </c>
      <c r="I105" s="9">
        <v>0.46875</v>
      </c>
      <c r="J105" s="3">
        <v>27</v>
      </c>
      <c r="K105" s="3" t="s">
        <v>188</v>
      </c>
      <c r="L105" s="3" t="s">
        <v>188</v>
      </c>
      <c r="M105" s="3">
        <v>14</v>
      </c>
      <c r="N105" s="3" t="s">
        <v>189</v>
      </c>
      <c r="O105" s="18">
        <v>7</v>
      </c>
      <c r="P105" s="3">
        <v>11.1</v>
      </c>
      <c r="Q105" s="3">
        <v>68.900000000000006</v>
      </c>
      <c r="R105" s="2" t="s">
        <v>37</v>
      </c>
    </row>
    <row r="106" spans="1:33">
      <c r="A106" s="3">
        <v>71.099999999999994</v>
      </c>
      <c r="B106" s="3" t="s">
        <v>181</v>
      </c>
      <c r="C106" s="3" t="s">
        <v>182</v>
      </c>
      <c r="D106" s="3">
        <v>-21.194099999999999</v>
      </c>
      <c r="E106" s="3">
        <v>-159.8091</v>
      </c>
      <c r="F106" s="1" t="s">
        <v>128</v>
      </c>
      <c r="G106" s="3" t="s">
        <v>195</v>
      </c>
      <c r="H106" s="10">
        <v>41387</v>
      </c>
      <c r="I106" s="9">
        <v>0.61111111111111105</v>
      </c>
      <c r="J106" s="3">
        <v>26</v>
      </c>
      <c r="K106" s="3">
        <v>27.4</v>
      </c>
      <c r="L106" s="3">
        <v>35.700000000000003</v>
      </c>
      <c r="M106" s="3">
        <v>16</v>
      </c>
      <c r="N106" s="3" t="s">
        <v>196</v>
      </c>
      <c r="O106" s="18">
        <v>10</v>
      </c>
      <c r="P106" s="3">
        <v>7.4</v>
      </c>
      <c r="Q106" s="3">
        <v>27.1</v>
      </c>
      <c r="R106" s="2" t="s">
        <v>37</v>
      </c>
      <c r="S106" s="3">
        <v>23.4</v>
      </c>
      <c r="T106" s="3">
        <v>2.2599999999999998</v>
      </c>
      <c r="U106" s="3">
        <v>0.5</v>
      </c>
      <c r="V106" s="3">
        <f>23.4*30/1000</f>
        <v>0.70199999999999996</v>
      </c>
      <c r="W106" s="3" t="s">
        <v>60</v>
      </c>
      <c r="X106" s="3">
        <v>200</v>
      </c>
      <c r="Y106" s="7">
        <v>41609</v>
      </c>
      <c r="Z106" s="3">
        <v>70</v>
      </c>
      <c r="AA106" s="3">
        <v>1.98</v>
      </c>
      <c r="AB106" s="3">
        <v>0.25</v>
      </c>
      <c r="AC106" s="3">
        <f>70*50/1000</f>
        <v>3.5</v>
      </c>
      <c r="AD106" s="3" t="s">
        <v>44</v>
      </c>
      <c r="AE106" s="3">
        <f>V106/AC106</f>
        <v>0.20057142857142857</v>
      </c>
      <c r="AF106" s="7">
        <v>41609</v>
      </c>
      <c r="AG106" s="3" t="s">
        <v>53</v>
      </c>
    </row>
    <row r="107" spans="1:33">
      <c r="A107" s="3">
        <v>72.099999999999994</v>
      </c>
      <c r="B107" s="3" t="s">
        <v>181</v>
      </c>
      <c r="C107" s="3" t="s">
        <v>182</v>
      </c>
      <c r="D107" s="3">
        <v>-21.194099999999999</v>
      </c>
      <c r="E107" s="3">
        <v>-159.8091</v>
      </c>
      <c r="F107" s="1" t="s">
        <v>128</v>
      </c>
      <c r="G107" s="3" t="s">
        <v>197</v>
      </c>
      <c r="H107" s="10">
        <v>41387</v>
      </c>
      <c r="I107" s="9">
        <v>0.62291666666666667</v>
      </c>
      <c r="J107" s="3">
        <v>26</v>
      </c>
      <c r="K107" s="3">
        <v>27.4</v>
      </c>
      <c r="L107" s="3">
        <v>35.700000000000003</v>
      </c>
      <c r="M107" s="3">
        <v>16</v>
      </c>
      <c r="N107" s="3" t="s">
        <v>196</v>
      </c>
      <c r="O107" s="18">
        <v>15</v>
      </c>
      <c r="P107" s="3">
        <v>5.5</v>
      </c>
      <c r="Q107" s="3">
        <v>18.2</v>
      </c>
      <c r="R107" s="2" t="s">
        <v>37</v>
      </c>
    </row>
    <row r="108" spans="1:33">
      <c r="A108" s="3">
        <v>72.2</v>
      </c>
      <c r="B108" s="3" t="s">
        <v>181</v>
      </c>
      <c r="C108" s="3" t="s">
        <v>182</v>
      </c>
      <c r="D108" s="3">
        <v>-21.194099999999999</v>
      </c>
      <c r="E108" s="3">
        <v>-159.8091</v>
      </c>
      <c r="F108" s="1" t="s">
        <v>128</v>
      </c>
      <c r="G108" s="3" t="s">
        <v>197</v>
      </c>
      <c r="H108" s="10">
        <v>41387</v>
      </c>
      <c r="I108" s="9">
        <v>0.62291666666666667</v>
      </c>
      <c r="J108" s="3">
        <v>26</v>
      </c>
      <c r="K108" s="3">
        <v>27.4</v>
      </c>
      <c r="L108" s="3">
        <v>35.700000000000003</v>
      </c>
      <c r="M108" s="3">
        <v>16</v>
      </c>
      <c r="N108" s="3" t="s">
        <v>196</v>
      </c>
      <c r="O108" s="18">
        <v>15</v>
      </c>
      <c r="P108" s="3">
        <v>5.5</v>
      </c>
      <c r="Q108" s="3">
        <v>18.2</v>
      </c>
      <c r="R108" s="2" t="s">
        <v>37</v>
      </c>
      <c r="S108" s="3">
        <v>36.4</v>
      </c>
      <c r="T108" s="3">
        <v>2.19</v>
      </c>
      <c r="U108" s="3">
        <v>0.62</v>
      </c>
      <c r="V108" s="3">
        <f>36.4*30/1000</f>
        <v>1.0920000000000001</v>
      </c>
      <c r="W108" s="3" t="s">
        <v>47</v>
      </c>
      <c r="X108" s="3">
        <v>200</v>
      </c>
      <c r="Y108" s="7">
        <v>41640</v>
      </c>
      <c r="Z108" s="3">
        <v>98.9</v>
      </c>
      <c r="AA108" s="3">
        <v>1.64</v>
      </c>
      <c r="AB108" s="3">
        <v>0.67</v>
      </c>
      <c r="AC108" s="3">
        <f>98.9*50/1000</f>
        <v>4.9450000000000003</v>
      </c>
      <c r="AD108" s="3" t="s">
        <v>44</v>
      </c>
      <c r="AE108" s="3">
        <f>V108/AC108</f>
        <v>0.22082912032355914</v>
      </c>
      <c r="AF108" s="7">
        <v>41640</v>
      </c>
      <c r="AG108" s="3" t="s">
        <v>53</v>
      </c>
    </row>
    <row r="109" spans="1:33">
      <c r="A109" s="3">
        <v>73.099999999999994</v>
      </c>
      <c r="B109" s="3" t="s">
        <v>181</v>
      </c>
      <c r="C109" s="3" t="s">
        <v>198</v>
      </c>
      <c r="D109" s="3" t="s">
        <v>72</v>
      </c>
      <c r="F109" s="1" t="s">
        <v>82</v>
      </c>
      <c r="G109" s="3" t="s">
        <v>199</v>
      </c>
      <c r="H109" s="10">
        <v>41388</v>
      </c>
      <c r="I109" s="9">
        <v>0.38194444444444442</v>
      </c>
      <c r="J109" s="3">
        <v>26</v>
      </c>
      <c r="K109" s="3">
        <v>27.4</v>
      </c>
      <c r="L109" s="3">
        <v>35.5</v>
      </c>
      <c r="M109" s="3">
        <v>14</v>
      </c>
      <c r="N109" s="3" t="s">
        <v>200</v>
      </c>
      <c r="O109" s="18">
        <v>20</v>
      </c>
      <c r="P109" s="3">
        <v>9.3000000000000007</v>
      </c>
      <c r="Q109" s="3">
        <v>44.2</v>
      </c>
      <c r="R109" s="2" t="s">
        <v>37</v>
      </c>
    </row>
    <row r="110" spans="1:33">
      <c r="A110" s="3">
        <v>73.2</v>
      </c>
      <c r="B110" s="3" t="s">
        <v>181</v>
      </c>
      <c r="C110" s="3" t="s">
        <v>198</v>
      </c>
      <c r="D110" s="3" t="s">
        <v>72</v>
      </c>
      <c r="F110" s="1" t="s">
        <v>82</v>
      </c>
      <c r="G110" s="3" t="s">
        <v>199</v>
      </c>
      <c r="H110" s="10">
        <v>41388</v>
      </c>
      <c r="I110" s="9">
        <v>0.38194444444444442</v>
      </c>
      <c r="J110" s="3">
        <v>26</v>
      </c>
      <c r="K110" s="3">
        <v>27.4</v>
      </c>
      <c r="L110" s="3">
        <v>35.5</v>
      </c>
      <c r="M110" s="3">
        <v>14</v>
      </c>
      <c r="N110" s="3" t="s">
        <v>200</v>
      </c>
      <c r="O110" s="18">
        <v>20</v>
      </c>
      <c r="P110" s="3">
        <v>9.3000000000000007</v>
      </c>
      <c r="Q110" s="3">
        <v>44.2</v>
      </c>
      <c r="R110" s="2" t="s">
        <v>37</v>
      </c>
      <c r="S110" s="3">
        <v>91.4</v>
      </c>
      <c r="T110" s="3">
        <v>2.2000000000000002</v>
      </c>
      <c r="U110" s="3">
        <v>1.65</v>
      </c>
      <c r="V110" s="3">
        <f>30*91.4/1000</f>
        <v>2.742</v>
      </c>
      <c r="W110" s="3" t="s">
        <v>47</v>
      </c>
      <c r="X110" s="3">
        <v>200</v>
      </c>
      <c r="Y110" s="7">
        <v>41640</v>
      </c>
      <c r="Z110" s="3">
        <v>130.1</v>
      </c>
      <c r="AA110" s="3">
        <v>1.94</v>
      </c>
      <c r="AB110" s="3">
        <v>1.55</v>
      </c>
      <c r="AC110" s="3">
        <f>130.1*50/1000</f>
        <v>6.5049999999999999</v>
      </c>
      <c r="AD110" s="3" t="s">
        <v>44</v>
      </c>
      <c r="AE110" s="3">
        <f>V110/AC110</f>
        <v>0.42152190622598001</v>
      </c>
      <c r="AF110" s="7">
        <v>41640</v>
      </c>
      <c r="AG110" s="3" t="s">
        <v>53</v>
      </c>
    </row>
    <row r="111" spans="1:33">
      <c r="A111" s="3">
        <v>74</v>
      </c>
      <c r="B111" s="3" t="s">
        <v>181</v>
      </c>
      <c r="C111" s="3" t="s">
        <v>198</v>
      </c>
      <c r="D111" s="3">
        <v>-21.241700000000002</v>
      </c>
      <c r="E111" s="3">
        <v>-159.7225</v>
      </c>
      <c r="F111" s="2" t="s">
        <v>159</v>
      </c>
      <c r="G111" s="3" t="s">
        <v>201</v>
      </c>
      <c r="H111" s="10">
        <v>41388</v>
      </c>
      <c r="I111" s="9">
        <v>0.3888888888888889</v>
      </c>
      <c r="J111" s="3">
        <v>26</v>
      </c>
      <c r="K111" s="3">
        <v>27.4</v>
      </c>
      <c r="L111" s="3">
        <v>35.5</v>
      </c>
      <c r="M111" s="3">
        <v>15</v>
      </c>
      <c r="N111" s="3" t="s">
        <v>202</v>
      </c>
      <c r="O111" s="18">
        <v>20</v>
      </c>
      <c r="P111" s="3">
        <v>9.6</v>
      </c>
      <c r="Q111" s="3">
        <v>50.8</v>
      </c>
      <c r="R111" s="2" t="s">
        <v>37</v>
      </c>
    </row>
    <row r="112" spans="1:33">
      <c r="A112" s="3">
        <v>75</v>
      </c>
      <c r="B112" s="3" t="s">
        <v>181</v>
      </c>
      <c r="C112" s="3" t="s">
        <v>198</v>
      </c>
      <c r="D112" s="3">
        <v>-21.241700000000002</v>
      </c>
      <c r="E112" s="3">
        <v>-159.7225</v>
      </c>
      <c r="F112" s="2" t="s">
        <v>159</v>
      </c>
      <c r="G112" s="3" t="s">
        <v>203</v>
      </c>
      <c r="H112" s="10">
        <v>41388</v>
      </c>
      <c r="I112" s="9">
        <v>0.3923611111111111</v>
      </c>
      <c r="J112" s="3">
        <v>26</v>
      </c>
      <c r="K112" s="3">
        <v>27.4</v>
      </c>
      <c r="L112" s="3">
        <v>35.5</v>
      </c>
      <c r="M112" s="3">
        <v>14</v>
      </c>
      <c r="N112" s="3" t="s">
        <v>202</v>
      </c>
      <c r="O112" s="18">
        <v>20</v>
      </c>
      <c r="P112" s="3">
        <v>5.9</v>
      </c>
      <c r="Q112" s="3">
        <v>21.7</v>
      </c>
      <c r="R112" s="2" t="s">
        <v>37</v>
      </c>
    </row>
    <row r="113" spans="1:33">
      <c r="A113" s="3">
        <v>76.099999999999994</v>
      </c>
      <c r="B113" s="3" t="s">
        <v>181</v>
      </c>
      <c r="C113" s="3" t="s">
        <v>204</v>
      </c>
      <c r="D113" s="3">
        <v>-21.2136</v>
      </c>
      <c r="E113" s="3">
        <v>-159.733</v>
      </c>
      <c r="F113" s="1" t="s">
        <v>82</v>
      </c>
      <c r="G113" s="3" t="s">
        <v>205</v>
      </c>
      <c r="H113" s="10">
        <v>41388</v>
      </c>
      <c r="I113" s="9">
        <v>0.46527777777777773</v>
      </c>
      <c r="J113" s="3">
        <v>26</v>
      </c>
      <c r="K113" s="3">
        <v>27.4</v>
      </c>
      <c r="L113" s="3">
        <v>35.700000000000003</v>
      </c>
      <c r="M113" s="3">
        <v>14.5</v>
      </c>
      <c r="N113" s="3" t="s">
        <v>202</v>
      </c>
      <c r="O113" s="18">
        <v>30</v>
      </c>
      <c r="P113" s="3">
        <v>7.6</v>
      </c>
      <c r="Q113" s="3">
        <v>31</v>
      </c>
      <c r="R113" s="2" t="s">
        <v>37</v>
      </c>
      <c r="S113" s="3" t="s">
        <v>206</v>
      </c>
      <c r="Y113" s="7">
        <v>41609</v>
      </c>
      <c r="Z113" s="3">
        <v>69.7</v>
      </c>
      <c r="AA113" s="3">
        <v>1.94</v>
      </c>
      <c r="AB113" s="3">
        <v>0.25</v>
      </c>
      <c r="AC113" s="3">
        <f>69.7*50/1000</f>
        <v>3.4849999999999999</v>
      </c>
      <c r="AD113" s="3" t="s">
        <v>44</v>
      </c>
      <c r="AF113" s="7">
        <v>41609</v>
      </c>
      <c r="AG113" s="3" t="s">
        <v>53</v>
      </c>
    </row>
    <row r="114" spans="1:33">
      <c r="A114" s="3">
        <v>77.099999999999994</v>
      </c>
      <c r="B114" s="3" t="s">
        <v>181</v>
      </c>
      <c r="C114" s="3" t="s">
        <v>204</v>
      </c>
      <c r="D114" s="3">
        <v>-21.2136</v>
      </c>
      <c r="E114" s="3">
        <v>-159.733</v>
      </c>
      <c r="F114" s="2" t="s">
        <v>159</v>
      </c>
      <c r="G114" s="3" t="s">
        <v>207</v>
      </c>
      <c r="H114" s="10">
        <v>41388</v>
      </c>
      <c r="I114" s="9">
        <v>0.47222222222222227</v>
      </c>
      <c r="J114" s="3">
        <v>26</v>
      </c>
      <c r="K114" s="3">
        <v>27.4</v>
      </c>
      <c r="L114" s="3">
        <v>35.700000000000003</v>
      </c>
      <c r="M114" s="3">
        <v>15</v>
      </c>
      <c r="N114" s="3" t="s">
        <v>202</v>
      </c>
      <c r="O114" s="18">
        <v>30</v>
      </c>
      <c r="P114" s="3">
        <v>7.7</v>
      </c>
      <c r="Q114" s="3">
        <v>39.4</v>
      </c>
      <c r="R114" s="2" t="s">
        <v>37</v>
      </c>
    </row>
    <row r="115" spans="1:33">
      <c r="A115" s="3">
        <v>77.2</v>
      </c>
      <c r="B115" s="3" t="s">
        <v>181</v>
      </c>
      <c r="C115" s="3" t="s">
        <v>204</v>
      </c>
      <c r="D115" s="3">
        <v>-21.2136</v>
      </c>
      <c r="E115" s="3">
        <v>-159.733</v>
      </c>
      <c r="F115" s="2" t="s">
        <v>159</v>
      </c>
      <c r="G115" s="3" t="s">
        <v>207</v>
      </c>
      <c r="H115" s="10">
        <v>41388</v>
      </c>
      <c r="I115" s="9">
        <v>0.47222222222222227</v>
      </c>
      <c r="J115" s="3">
        <v>26</v>
      </c>
      <c r="K115" s="3">
        <v>27.4</v>
      </c>
      <c r="L115" s="3">
        <v>35.700000000000003</v>
      </c>
      <c r="M115" s="3">
        <v>15</v>
      </c>
      <c r="N115" s="3" t="s">
        <v>202</v>
      </c>
      <c r="O115" s="18">
        <v>30</v>
      </c>
      <c r="P115" s="3">
        <v>7.7</v>
      </c>
      <c r="Q115" s="3">
        <v>39.4</v>
      </c>
      <c r="R115" s="2" t="s">
        <v>37</v>
      </c>
    </row>
    <row r="116" spans="1:33">
      <c r="A116" s="3">
        <v>78.099999999999994</v>
      </c>
      <c r="B116" s="3" t="s">
        <v>181</v>
      </c>
      <c r="C116" s="3" t="s">
        <v>204</v>
      </c>
      <c r="D116" s="3">
        <v>-21.2136</v>
      </c>
      <c r="E116" s="3">
        <v>-159.733</v>
      </c>
      <c r="F116" s="1" t="s">
        <v>82</v>
      </c>
      <c r="G116" s="3" t="s">
        <v>208</v>
      </c>
      <c r="H116" s="10">
        <v>41388</v>
      </c>
      <c r="I116" s="9">
        <v>0.47569444444444442</v>
      </c>
      <c r="J116" s="3">
        <v>26</v>
      </c>
      <c r="K116" s="3">
        <v>27.4</v>
      </c>
      <c r="L116" s="3">
        <v>35.700000000000003</v>
      </c>
      <c r="M116" s="3">
        <v>15.5</v>
      </c>
      <c r="N116" s="3" t="s">
        <v>202</v>
      </c>
      <c r="O116" s="18">
        <v>30</v>
      </c>
      <c r="P116" s="3">
        <v>6.3</v>
      </c>
      <c r="Q116" s="3">
        <v>25.8</v>
      </c>
      <c r="R116" s="2" t="s">
        <v>37</v>
      </c>
    </row>
    <row r="117" spans="1:33">
      <c r="A117" s="3">
        <v>78.2</v>
      </c>
      <c r="B117" s="3" t="s">
        <v>181</v>
      </c>
      <c r="C117" s="3" t="s">
        <v>204</v>
      </c>
      <c r="D117" s="3">
        <v>-21.2136</v>
      </c>
      <c r="E117" s="3">
        <v>-159.733</v>
      </c>
      <c r="F117" s="1" t="s">
        <v>82</v>
      </c>
      <c r="G117" s="3" t="s">
        <v>208</v>
      </c>
      <c r="H117" s="10">
        <v>41388</v>
      </c>
      <c r="I117" s="9">
        <v>0.47569444444444442</v>
      </c>
      <c r="J117" s="3">
        <v>26</v>
      </c>
      <c r="K117" s="3">
        <v>27.4</v>
      </c>
      <c r="L117" s="3">
        <v>35.700000000000003</v>
      </c>
      <c r="M117" s="3">
        <v>15.5</v>
      </c>
      <c r="N117" s="3" t="s">
        <v>202</v>
      </c>
      <c r="O117" s="18">
        <v>30</v>
      </c>
      <c r="P117" s="3">
        <v>6.3</v>
      </c>
      <c r="Q117" s="3">
        <v>25.8</v>
      </c>
      <c r="R117" s="2" t="s">
        <v>37</v>
      </c>
      <c r="S117" s="3">
        <v>61.6</v>
      </c>
      <c r="T117" s="3">
        <v>2.2200000000000002</v>
      </c>
      <c r="U117" s="3">
        <v>1.92</v>
      </c>
      <c r="V117" s="3">
        <f>30*S117/1000</f>
        <v>1.8480000000000001</v>
      </c>
      <c r="W117" s="3" t="s">
        <v>47</v>
      </c>
      <c r="X117" s="3">
        <v>200</v>
      </c>
      <c r="Y117" s="7">
        <v>41609</v>
      </c>
      <c r="Z117" s="3">
        <v>83</v>
      </c>
      <c r="AA117" s="3">
        <v>1.97</v>
      </c>
      <c r="AB117" s="3">
        <v>0.35</v>
      </c>
      <c r="AC117" s="3">
        <f>83*50/1000</f>
        <v>4.1500000000000004</v>
      </c>
      <c r="AD117" s="3" t="s">
        <v>44</v>
      </c>
      <c r="AE117" s="3">
        <f>V117/AC117</f>
        <v>0.4453012048192771</v>
      </c>
      <c r="AF117" s="7">
        <v>41609</v>
      </c>
      <c r="AG117" s="3" t="s">
        <v>53</v>
      </c>
    </row>
    <row r="118" spans="1:33">
      <c r="A118" s="3">
        <v>79.099999999999994</v>
      </c>
      <c r="B118" s="3" t="s">
        <v>181</v>
      </c>
      <c r="C118" s="3" t="s">
        <v>209</v>
      </c>
      <c r="D118" s="3">
        <v>-21.199300000000001</v>
      </c>
      <c r="E118" s="3">
        <v>-159.7569</v>
      </c>
      <c r="F118" s="2" t="s">
        <v>159</v>
      </c>
      <c r="G118" s="3" t="s">
        <v>210</v>
      </c>
      <c r="H118" s="10">
        <v>41388</v>
      </c>
      <c r="I118" s="9">
        <v>0.58680555555555558</v>
      </c>
      <c r="J118" s="3">
        <v>26</v>
      </c>
      <c r="K118" s="3" t="s">
        <v>42</v>
      </c>
      <c r="L118" s="3" t="s">
        <v>42</v>
      </c>
      <c r="M118" s="3">
        <v>17</v>
      </c>
      <c r="N118" s="3" t="s">
        <v>202</v>
      </c>
      <c r="O118" s="18">
        <v>20</v>
      </c>
      <c r="P118" s="3">
        <v>5.7</v>
      </c>
      <c r="Q118" s="3">
        <v>19.100000000000001</v>
      </c>
      <c r="R118" s="2" t="s">
        <v>37</v>
      </c>
    </row>
    <row r="119" spans="1:33">
      <c r="A119" s="3">
        <v>79.2</v>
      </c>
      <c r="B119" s="3" t="s">
        <v>181</v>
      </c>
      <c r="C119" s="3" t="s">
        <v>209</v>
      </c>
      <c r="D119" s="3">
        <v>-21.199300000000001</v>
      </c>
      <c r="E119" s="3">
        <v>-159.7569</v>
      </c>
      <c r="F119" s="2" t="s">
        <v>159</v>
      </c>
      <c r="G119" s="3" t="s">
        <v>210</v>
      </c>
      <c r="H119" s="10">
        <v>41388</v>
      </c>
      <c r="I119" s="9">
        <v>0.58680555555555558</v>
      </c>
      <c r="J119" s="3">
        <v>26</v>
      </c>
      <c r="K119" s="3" t="s">
        <v>42</v>
      </c>
      <c r="L119" s="3" t="s">
        <v>42</v>
      </c>
      <c r="M119" s="3">
        <v>17</v>
      </c>
      <c r="N119" s="3" t="s">
        <v>202</v>
      </c>
      <c r="O119" s="18">
        <v>20</v>
      </c>
      <c r="P119" s="3">
        <v>5.7</v>
      </c>
      <c r="Q119" s="3">
        <v>19.100000000000001</v>
      </c>
      <c r="R119" s="2" t="s">
        <v>37</v>
      </c>
    </row>
    <row r="120" spans="1:33">
      <c r="A120" s="3">
        <v>80</v>
      </c>
      <c r="B120" s="3" t="s">
        <v>181</v>
      </c>
      <c r="C120" s="3" t="s">
        <v>209</v>
      </c>
      <c r="D120" s="3">
        <v>-21.199300000000001</v>
      </c>
      <c r="E120" s="3">
        <v>-159.7569</v>
      </c>
      <c r="F120" s="2" t="s">
        <v>159</v>
      </c>
      <c r="G120" s="3" t="s">
        <v>211</v>
      </c>
      <c r="H120" s="10">
        <v>41388</v>
      </c>
      <c r="I120" s="9">
        <v>0.59027777777777779</v>
      </c>
      <c r="J120" s="3">
        <v>26</v>
      </c>
      <c r="K120" s="3" t="s">
        <v>42</v>
      </c>
      <c r="L120" s="3" t="s">
        <v>42</v>
      </c>
      <c r="M120" s="3">
        <v>16</v>
      </c>
      <c r="N120" s="3" t="s">
        <v>202</v>
      </c>
      <c r="O120" s="18">
        <v>20</v>
      </c>
      <c r="P120" s="3">
        <v>7.1</v>
      </c>
      <c r="Q120" s="3">
        <v>24.9</v>
      </c>
      <c r="R120" s="2" t="s">
        <v>37</v>
      </c>
    </row>
    <row r="121" spans="1:33">
      <c r="A121" s="3">
        <v>81.099999999999994</v>
      </c>
      <c r="B121" s="3" t="s">
        <v>181</v>
      </c>
      <c r="C121" s="3" t="s">
        <v>209</v>
      </c>
      <c r="D121" s="3">
        <v>-21.199300000000001</v>
      </c>
      <c r="E121" s="3">
        <v>-159.7569</v>
      </c>
      <c r="F121" s="1" t="s">
        <v>40</v>
      </c>
      <c r="G121" s="3" t="s">
        <v>208</v>
      </c>
      <c r="H121" s="10">
        <v>41388</v>
      </c>
      <c r="I121" s="9">
        <v>0.60069444444444442</v>
      </c>
      <c r="J121" s="3">
        <v>26</v>
      </c>
      <c r="K121" s="3" t="s">
        <v>42</v>
      </c>
      <c r="L121" s="3" t="s">
        <v>42</v>
      </c>
      <c r="M121" s="3">
        <v>16</v>
      </c>
      <c r="N121" s="3" t="s">
        <v>202</v>
      </c>
      <c r="O121" s="18">
        <v>20</v>
      </c>
      <c r="P121" s="3">
        <v>14</v>
      </c>
      <c r="Q121" s="3">
        <v>99.6</v>
      </c>
      <c r="R121" s="2" t="s">
        <v>37</v>
      </c>
      <c r="S121" s="3">
        <v>46.5</v>
      </c>
      <c r="T121" s="3">
        <v>2.23</v>
      </c>
      <c r="U121" s="3">
        <v>0.88</v>
      </c>
      <c r="V121" s="3">
        <f>46.5*30/1000</f>
        <v>1.395</v>
      </c>
      <c r="W121" s="3" t="s">
        <v>47</v>
      </c>
      <c r="X121" s="3">
        <v>200</v>
      </c>
      <c r="Y121" s="7">
        <v>41609</v>
      </c>
      <c r="Z121" s="3">
        <v>72</v>
      </c>
      <c r="AA121" s="3">
        <v>1.96</v>
      </c>
      <c r="AB121" s="3">
        <v>1</v>
      </c>
      <c r="AC121" s="3">
        <f>72*50/1000</f>
        <v>3.6</v>
      </c>
      <c r="AD121" s="3" t="s">
        <v>44</v>
      </c>
      <c r="AE121" s="3">
        <f>V121/AC121</f>
        <v>0.38750000000000001</v>
      </c>
      <c r="AF121" s="7">
        <v>41609</v>
      </c>
      <c r="AG121" s="3" t="s">
        <v>212</v>
      </c>
    </row>
    <row r="122" spans="1:33">
      <c r="A122" s="3">
        <v>82.1</v>
      </c>
      <c r="B122" s="3" t="s">
        <v>181</v>
      </c>
      <c r="C122" s="3" t="s">
        <v>213</v>
      </c>
      <c r="D122" s="3" t="s">
        <v>72</v>
      </c>
      <c r="F122" s="1" t="s">
        <v>82</v>
      </c>
      <c r="G122" s="3" t="s">
        <v>175</v>
      </c>
      <c r="H122" s="10">
        <v>41390</v>
      </c>
      <c r="I122" s="9">
        <v>0.38541666666666669</v>
      </c>
      <c r="J122" s="3">
        <v>26</v>
      </c>
      <c r="K122" s="3">
        <v>27.3</v>
      </c>
      <c r="L122" s="3">
        <v>35.700000000000003</v>
      </c>
      <c r="M122" s="3">
        <v>16</v>
      </c>
      <c r="N122" s="3" t="s">
        <v>214</v>
      </c>
      <c r="O122" s="18">
        <v>15</v>
      </c>
      <c r="P122" s="3">
        <v>6.2</v>
      </c>
      <c r="Q122" s="3">
        <v>23</v>
      </c>
      <c r="R122" s="2" t="s">
        <v>37</v>
      </c>
    </row>
    <row r="123" spans="1:33">
      <c r="A123" s="3">
        <v>82.2</v>
      </c>
      <c r="B123" s="3" t="s">
        <v>181</v>
      </c>
      <c r="C123" s="3" t="s">
        <v>213</v>
      </c>
      <c r="D123" s="3" t="s">
        <v>72</v>
      </c>
      <c r="F123" s="1" t="s">
        <v>82</v>
      </c>
      <c r="G123" s="3" t="s">
        <v>175</v>
      </c>
      <c r="H123" s="10">
        <v>41390</v>
      </c>
      <c r="I123" s="9">
        <v>0.38541666666666669</v>
      </c>
      <c r="J123" s="3">
        <v>26</v>
      </c>
      <c r="K123" s="3">
        <v>27.3</v>
      </c>
      <c r="L123" s="3">
        <v>35.700000000000003</v>
      </c>
      <c r="M123" s="3">
        <v>16</v>
      </c>
      <c r="N123" s="3" t="s">
        <v>214</v>
      </c>
      <c r="O123" s="18">
        <v>15</v>
      </c>
      <c r="P123" s="3">
        <v>6.2</v>
      </c>
      <c r="Q123" s="3">
        <v>23</v>
      </c>
      <c r="R123" s="2" t="s">
        <v>37</v>
      </c>
      <c r="S123" s="3" t="s">
        <v>38</v>
      </c>
      <c r="Y123" s="7">
        <v>41640</v>
      </c>
      <c r="Z123" s="3">
        <v>45</v>
      </c>
      <c r="AA123" s="3">
        <v>1.99</v>
      </c>
      <c r="AB123" s="3">
        <v>0.31</v>
      </c>
      <c r="AC123" s="3">
        <f>45*50/1000</f>
        <v>2.25</v>
      </c>
      <c r="AD123" s="3" t="s">
        <v>44</v>
      </c>
      <c r="AF123" s="7">
        <v>41640</v>
      </c>
      <c r="AG123" s="3" t="s">
        <v>212</v>
      </c>
    </row>
    <row r="124" spans="1:33">
      <c r="A124" s="3">
        <v>83.1</v>
      </c>
      <c r="B124" s="3" t="s">
        <v>181</v>
      </c>
      <c r="C124" s="3" t="s">
        <v>213</v>
      </c>
      <c r="D124" s="3">
        <v>-21.264199999999999</v>
      </c>
      <c r="E124" s="3">
        <v>-159.81649999999999</v>
      </c>
      <c r="F124" s="1" t="s">
        <v>82</v>
      </c>
      <c r="G124" s="3" t="s">
        <v>215</v>
      </c>
      <c r="H124" s="10">
        <v>41390</v>
      </c>
      <c r="I124" s="9">
        <v>0.3923611111111111</v>
      </c>
      <c r="J124" s="3">
        <v>26</v>
      </c>
      <c r="K124" s="3">
        <v>27.3</v>
      </c>
      <c r="L124" s="3">
        <v>35.700000000000003</v>
      </c>
      <c r="M124" s="3">
        <v>17</v>
      </c>
      <c r="N124" s="3" t="s">
        <v>216</v>
      </c>
      <c r="O124" s="18">
        <v>20</v>
      </c>
      <c r="P124" s="3">
        <v>6.4</v>
      </c>
      <c r="Q124" s="3">
        <v>22.6</v>
      </c>
      <c r="R124" s="2" t="s">
        <v>37</v>
      </c>
    </row>
    <row r="125" spans="1:33">
      <c r="A125" s="3">
        <v>83.2</v>
      </c>
      <c r="B125" s="3" t="s">
        <v>181</v>
      </c>
      <c r="C125" s="3" t="s">
        <v>213</v>
      </c>
      <c r="D125" s="3">
        <v>-21.264199999999999</v>
      </c>
      <c r="E125" s="3">
        <v>-159.81649999999999</v>
      </c>
      <c r="F125" s="1" t="s">
        <v>82</v>
      </c>
      <c r="G125" s="3" t="s">
        <v>215</v>
      </c>
      <c r="H125" s="10">
        <v>41390</v>
      </c>
      <c r="I125" s="9">
        <v>0.3923611111111111</v>
      </c>
      <c r="J125" s="3">
        <v>26</v>
      </c>
      <c r="K125" s="3">
        <v>27.3</v>
      </c>
      <c r="L125" s="3">
        <v>35.700000000000003</v>
      </c>
      <c r="M125" s="3">
        <v>17</v>
      </c>
      <c r="N125" s="3" t="s">
        <v>216</v>
      </c>
      <c r="O125" s="18">
        <v>20</v>
      </c>
      <c r="P125" s="3">
        <v>6.4</v>
      </c>
      <c r="Q125" s="3">
        <v>22.6</v>
      </c>
      <c r="R125" s="2" t="s">
        <v>37</v>
      </c>
      <c r="S125" s="3" t="s">
        <v>206</v>
      </c>
      <c r="Y125" s="7">
        <v>41640</v>
      </c>
      <c r="Z125" s="3">
        <v>44.8</v>
      </c>
      <c r="AA125" s="3">
        <v>1.91</v>
      </c>
      <c r="AB125" s="3">
        <v>0.45</v>
      </c>
      <c r="AC125" s="3">
        <f>44.8*50/1000</f>
        <v>2.2400000000000002</v>
      </c>
      <c r="AD125" s="3" t="s">
        <v>44</v>
      </c>
      <c r="AF125" s="7">
        <v>41640</v>
      </c>
      <c r="AG125" s="3" t="s">
        <v>212</v>
      </c>
    </row>
    <row r="126" spans="1:33">
      <c r="A126" s="3">
        <v>84.1</v>
      </c>
      <c r="B126" s="3" t="s">
        <v>181</v>
      </c>
      <c r="C126" s="3" t="s">
        <v>213</v>
      </c>
      <c r="D126" s="3">
        <v>-21.264199999999999</v>
      </c>
      <c r="E126" s="3">
        <v>-159.81649999999999</v>
      </c>
      <c r="F126" s="1" t="s">
        <v>82</v>
      </c>
      <c r="G126" s="3" t="s">
        <v>217</v>
      </c>
      <c r="H126" s="10">
        <v>41390</v>
      </c>
      <c r="I126" s="9">
        <v>0.40277777777777773</v>
      </c>
      <c r="J126" s="3">
        <v>26</v>
      </c>
      <c r="K126" s="3">
        <v>27.3</v>
      </c>
      <c r="L126" s="3">
        <v>35.700000000000003</v>
      </c>
      <c r="M126" s="3">
        <v>14.5</v>
      </c>
      <c r="N126" s="3" t="s">
        <v>216</v>
      </c>
      <c r="O126" s="18">
        <v>20</v>
      </c>
      <c r="P126" s="3">
        <v>9.8000000000000007</v>
      </c>
      <c r="Q126" s="3">
        <v>56.6</v>
      </c>
      <c r="R126" s="2" t="s">
        <v>37</v>
      </c>
      <c r="S126" s="3">
        <v>10.9</v>
      </c>
      <c r="T126" s="3">
        <v>2.0499999999999998</v>
      </c>
      <c r="U126" s="3">
        <v>0.31</v>
      </c>
      <c r="V126" s="3" t="s">
        <v>219</v>
      </c>
      <c r="Y126" s="7">
        <v>41640</v>
      </c>
      <c r="Z126" s="3">
        <v>21</v>
      </c>
      <c r="AA126" s="3">
        <v>1.91</v>
      </c>
      <c r="AB126" s="3">
        <v>0.14000000000000001</v>
      </c>
      <c r="AC126" s="3">
        <f>21*50/1000</f>
        <v>1.05</v>
      </c>
      <c r="AD126" s="3" t="s">
        <v>60</v>
      </c>
      <c r="AF126" s="7">
        <v>41640</v>
      </c>
      <c r="AG126" s="3" t="s">
        <v>212</v>
      </c>
    </row>
    <row r="127" spans="1:33">
      <c r="A127" s="3">
        <v>85.1</v>
      </c>
      <c r="B127" s="3" t="s">
        <v>181</v>
      </c>
      <c r="C127" s="3" t="s">
        <v>220</v>
      </c>
      <c r="D127" s="3">
        <v>-21.2745</v>
      </c>
      <c r="E127" s="3">
        <v>-159.77250000000001</v>
      </c>
      <c r="F127" s="2" t="s">
        <v>159</v>
      </c>
      <c r="G127" s="3" t="s">
        <v>221</v>
      </c>
      <c r="H127" s="10">
        <v>41390</v>
      </c>
      <c r="I127" s="9">
        <v>0.46527777777777773</v>
      </c>
      <c r="J127" s="3">
        <v>27</v>
      </c>
      <c r="K127" s="3">
        <v>27.3</v>
      </c>
      <c r="L127" s="3">
        <v>35.700000000000003</v>
      </c>
      <c r="M127" s="3">
        <v>16.5</v>
      </c>
      <c r="N127" s="3" t="s">
        <v>222</v>
      </c>
      <c r="O127" s="18">
        <v>20</v>
      </c>
      <c r="P127" s="3">
        <v>10.7</v>
      </c>
      <c r="Q127" s="3">
        <v>39.5</v>
      </c>
      <c r="R127" s="2" t="s">
        <v>37</v>
      </c>
      <c r="V127" s="3">
        <f>10.9*30/1000</f>
        <v>0.32700000000000001</v>
      </c>
    </row>
    <row r="128" spans="1:33">
      <c r="A128" s="3">
        <v>85.2</v>
      </c>
      <c r="B128" s="3" t="s">
        <v>181</v>
      </c>
      <c r="C128" s="3" t="s">
        <v>220</v>
      </c>
      <c r="D128" s="3">
        <v>-21.2745</v>
      </c>
      <c r="E128" s="3">
        <v>-159.77250000000001</v>
      </c>
      <c r="F128" s="2" t="s">
        <v>159</v>
      </c>
      <c r="G128" s="3" t="s">
        <v>221</v>
      </c>
      <c r="H128" s="10">
        <v>41390</v>
      </c>
      <c r="I128" s="9">
        <v>0.46527777777777773</v>
      </c>
      <c r="J128" s="3">
        <v>27</v>
      </c>
      <c r="K128" s="3">
        <v>27.3</v>
      </c>
      <c r="L128" s="3">
        <v>35.700000000000003</v>
      </c>
      <c r="M128" s="3">
        <v>16.5</v>
      </c>
      <c r="N128" s="3" t="s">
        <v>222</v>
      </c>
      <c r="O128" s="18">
        <v>20</v>
      </c>
      <c r="P128" s="3">
        <v>10.7</v>
      </c>
      <c r="Q128" s="3">
        <v>39.5</v>
      </c>
      <c r="R128" s="2" t="s">
        <v>37</v>
      </c>
    </row>
    <row r="129" spans="1:41">
      <c r="A129" s="3">
        <v>86.1</v>
      </c>
      <c r="B129" s="3" t="s">
        <v>181</v>
      </c>
      <c r="C129" s="3" t="s">
        <v>220</v>
      </c>
      <c r="D129" s="3">
        <v>-21.2745</v>
      </c>
      <c r="E129" s="3">
        <v>-159.77250000000001</v>
      </c>
      <c r="F129" s="1" t="s">
        <v>40</v>
      </c>
      <c r="G129" s="3" t="s">
        <v>223</v>
      </c>
      <c r="H129" s="10">
        <v>41390</v>
      </c>
      <c r="I129" s="9">
        <v>0.47222222222222227</v>
      </c>
      <c r="J129" s="3">
        <v>27</v>
      </c>
      <c r="K129" s="3">
        <v>27.3</v>
      </c>
      <c r="L129" s="3">
        <v>35.700000000000003</v>
      </c>
      <c r="M129" s="3">
        <v>16</v>
      </c>
      <c r="N129" s="3" t="s">
        <v>222</v>
      </c>
      <c r="O129" s="18">
        <v>20</v>
      </c>
      <c r="P129" s="3">
        <v>16.8</v>
      </c>
      <c r="Q129" s="3">
        <v>162.30000000000001</v>
      </c>
      <c r="R129" s="2" t="s">
        <v>37</v>
      </c>
    </row>
    <row r="130" spans="1:41">
      <c r="A130" s="3">
        <v>86.2</v>
      </c>
      <c r="B130" s="3" t="s">
        <v>181</v>
      </c>
      <c r="C130" s="3" t="s">
        <v>220</v>
      </c>
      <c r="D130" s="3">
        <v>-21.2745</v>
      </c>
      <c r="E130" s="3">
        <v>-159.77250000000001</v>
      </c>
      <c r="F130" s="1" t="s">
        <v>40</v>
      </c>
      <c r="G130" s="3" t="s">
        <v>223</v>
      </c>
      <c r="H130" s="10">
        <v>41390</v>
      </c>
      <c r="I130" s="9">
        <v>0.47222222222222227</v>
      </c>
      <c r="J130" s="3">
        <v>27</v>
      </c>
      <c r="K130" s="3">
        <v>27.3</v>
      </c>
      <c r="L130" s="3">
        <v>35.700000000000003</v>
      </c>
      <c r="M130" s="3">
        <v>16</v>
      </c>
      <c r="N130" s="3" t="s">
        <v>222</v>
      </c>
      <c r="O130" s="18">
        <v>20</v>
      </c>
      <c r="P130" s="3">
        <v>16.8</v>
      </c>
      <c r="Q130" s="3">
        <v>162.30000000000001</v>
      </c>
      <c r="R130" s="2" t="s">
        <v>37</v>
      </c>
      <c r="S130" s="3">
        <v>65.599999999999994</v>
      </c>
      <c r="T130" s="3">
        <v>2.15</v>
      </c>
      <c r="U130" s="3">
        <v>1.85</v>
      </c>
      <c r="V130" s="3">
        <f>30*65.6/1000</f>
        <v>1.9679999999999997</v>
      </c>
      <c r="W130" s="3" t="s">
        <v>47</v>
      </c>
      <c r="X130" s="3">
        <v>200</v>
      </c>
      <c r="Y130" s="7">
        <v>41609</v>
      </c>
      <c r="Z130" s="3">
        <v>168.4</v>
      </c>
      <c r="AA130" s="3">
        <v>1.96</v>
      </c>
      <c r="AB130" s="3">
        <v>1.08</v>
      </c>
      <c r="AC130" s="3">
        <f>168.4*50/1000</f>
        <v>8.42</v>
      </c>
      <c r="AD130" s="3" t="s">
        <v>44</v>
      </c>
      <c r="AE130" s="3">
        <f>V130/AC130</f>
        <v>0.23372921615201897</v>
      </c>
      <c r="AF130" s="7">
        <v>41609</v>
      </c>
      <c r="AG130" s="3" t="s">
        <v>212</v>
      </c>
    </row>
    <row r="131" spans="1:41">
      <c r="A131" s="3">
        <v>87.1</v>
      </c>
      <c r="B131" s="3" t="s">
        <v>181</v>
      </c>
      <c r="C131" s="3" t="s">
        <v>220</v>
      </c>
      <c r="D131" s="3">
        <v>-21.2745</v>
      </c>
      <c r="E131" s="3">
        <v>-159.77250000000001</v>
      </c>
      <c r="F131" s="2" t="s">
        <v>159</v>
      </c>
      <c r="G131" s="3" t="s">
        <v>203</v>
      </c>
      <c r="H131" s="10">
        <v>41390</v>
      </c>
      <c r="I131" s="9">
        <v>0.4861111111111111</v>
      </c>
      <c r="J131" s="3">
        <v>27</v>
      </c>
      <c r="K131" s="3">
        <v>27.3</v>
      </c>
      <c r="L131" s="3">
        <v>35.700000000000003</v>
      </c>
      <c r="M131" s="3">
        <v>15.5</v>
      </c>
      <c r="N131" s="3" t="s">
        <v>222</v>
      </c>
      <c r="O131" s="18">
        <v>20</v>
      </c>
      <c r="P131" s="3">
        <v>5.5</v>
      </c>
      <c r="Q131" s="3">
        <v>16.600000000000001</v>
      </c>
      <c r="R131" s="2" t="s">
        <v>37</v>
      </c>
    </row>
    <row r="132" spans="1:41">
      <c r="A132" s="3">
        <v>87.2</v>
      </c>
      <c r="B132" s="3" t="s">
        <v>181</v>
      </c>
      <c r="C132" s="3" t="s">
        <v>220</v>
      </c>
      <c r="D132" s="3">
        <v>-21.2745</v>
      </c>
      <c r="E132" s="3">
        <v>-159.77250000000001</v>
      </c>
      <c r="F132" s="2" t="s">
        <v>159</v>
      </c>
      <c r="G132" s="3" t="s">
        <v>203</v>
      </c>
      <c r="H132" s="10">
        <v>41390</v>
      </c>
      <c r="I132" s="9">
        <v>0.4861111111111111</v>
      </c>
      <c r="J132" s="3">
        <v>27</v>
      </c>
      <c r="K132" s="3">
        <v>27.3</v>
      </c>
      <c r="L132" s="3">
        <v>35.700000000000003</v>
      </c>
      <c r="M132" s="3">
        <v>15.5</v>
      </c>
      <c r="N132" s="3" t="s">
        <v>222</v>
      </c>
      <c r="O132" s="18">
        <v>20</v>
      </c>
      <c r="P132" s="3">
        <v>5.5</v>
      </c>
      <c r="Q132" s="3">
        <v>16.600000000000001</v>
      </c>
      <c r="R132" s="2" t="s">
        <v>37</v>
      </c>
      <c r="AN132" s="3" t="s">
        <v>224</v>
      </c>
      <c r="AO132" s="3" t="s">
        <v>225</v>
      </c>
    </row>
    <row r="133" spans="1:41">
      <c r="A133" s="3">
        <v>88.1</v>
      </c>
      <c r="B133" s="3" t="s">
        <v>181</v>
      </c>
      <c r="C133" s="3" t="s">
        <v>220</v>
      </c>
      <c r="D133" s="3">
        <v>-21.2745</v>
      </c>
      <c r="E133" s="3">
        <v>-159.77250000000001</v>
      </c>
      <c r="F133" s="1" t="s">
        <v>82</v>
      </c>
      <c r="G133" s="3" t="s">
        <v>226</v>
      </c>
      <c r="H133" s="10">
        <v>41390</v>
      </c>
      <c r="I133" s="9">
        <v>0.49652777777777773</v>
      </c>
      <c r="J133" s="3">
        <v>27</v>
      </c>
      <c r="K133" s="3">
        <v>27.3</v>
      </c>
      <c r="L133" s="3">
        <v>35.700000000000003</v>
      </c>
      <c r="M133" s="3">
        <v>9</v>
      </c>
      <c r="N133" s="3" t="s">
        <v>227</v>
      </c>
      <c r="O133" s="18">
        <v>10</v>
      </c>
      <c r="P133" s="3">
        <v>12.8</v>
      </c>
      <c r="Q133" s="3">
        <v>108</v>
      </c>
      <c r="R133" s="2" t="s">
        <v>37</v>
      </c>
      <c r="AN133" s="3">
        <v>0</v>
      </c>
      <c r="AO133" s="3">
        <v>0.93500000000000005</v>
      </c>
    </row>
    <row r="134" spans="1:41">
      <c r="A134" s="3">
        <v>88.2</v>
      </c>
      <c r="B134" s="3" t="s">
        <v>181</v>
      </c>
      <c r="C134" s="3" t="s">
        <v>220</v>
      </c>
      <c r="D134" s="3">
        <v>-21.2745</v>
      </c>
      <c r="E134" s="3">
        <v>-159.77250000000001</v>
      </c>
      <c r="F134" s="1" t="s">
        <v>82</v>
      </c>
      <c r="G134" s="3" t="s">
        <v>226</v>
      </c>
      <c r="H134" s="10">
        <v>41390</v>
      </c>
      <c r="I134" s="9">
        <v>0.49652777777777773</v>
      </c>
      <c r="J134" s="3">
        <v>27</v>
      </c>
      <c r="K134" s="3">
        <v>27.3</v>
      </c>
      <c r="L134" s="3">
        <v>35.700000000000003</v>
      </c>
      <c r="M134" s="3">
        <v>9</v>
      </c>
      <c r="N134" s="3" t="s">
        <v>227</v>
      </c>
      <c r="O134" s="18">
        <v>10</v>
      </c>
      <c r="P134" s="3">
        <v>12.8</v>
      </c>
      <c r="Q134" s="3">
        <v>108</v>
      </c>
      <c r="R134" s="2" t="s">
        <v>37</v>
      </c>
      <c r="S134" s="3">
        <v>55.2</v>
      </c>
      <c r="T134" s="3">
        <v>2.1800000000000002</v>
      </c>
      <c r="U134" s="3">
        <v>0.94</v>
      </c>
      <c r="V134" s="3">
        <f>55.2*30/1000</f>
        <v>1.6559999999999999</v>
      </c>
      <c r="W134" s="3" t="s">
        <v>47</v>
      </c>
      <c r="X134" s="3">
        <v>200</v>
      </c>
      <c r="Y134" s="7">
        <v>41640</v>
      </c>
      <c r="Z134" s="3">
        <v>36.5</v>
      </c>
      <c r="AA134" s="3">
        <v>1.97</v>
      </c>
      <c r="AB134" s="3">
        <v>0.28999999999999998</v>
      </c>
      <c r="AC134" s="3">
        <f>50*36.5/1000</f>
        <v>1.825</v>
      </c>
      <c r="AD134" s="3" t="s">
        <v>44</v>
      </c>
      <c r="AE134" s="3">
        <f>V134/AC134</f>
        <v>0.90739726027397261</v>
      </c>
      <c r="AF134" s="7">
        <v>41640</v>
      </c>
      <c r="AG134" s="3" t="s">
        <v>212</v>
      </c>
    </row>
    <row r="135" spans="1:41">
      <c r="A135" s="3">
        <v>89</v>
      </c>
      <c r="B135" s="3" t="s">
        <v>181</v>
      </c>
      <c r="C135" s="3" t="s">
        <v>228</v>
      </c>
      <c r="D135" s="3">
        <v>-21.271899999999999</v>
      </c>
      <c r="E135" s="3">
        <v>-159.72989999999999</v>
      </c>
      <c r="F135" s="2" t="s">
        <v>159</v>
      </c>
      <c r="G135" s="3" t="s">
        <v>229</v>
      </c>
      <c r="H135" s="10">
        <v>41390</v>
      </c>
      <c r="I135" s="9">
        <v>0.64930555555555558</v>
      </c>
      <c r="J135" s="3">
        <v>26.5</v>
      </c>
      <c r="K135" s="3">
        <v>27.4</v>
      </c>
      <c r="L135" s="3">
        <v>35.700000000000003</v>
      </c>
      <c r="M135" s="3">
        <v>17</v>
      </c>
      <c r="N135" s="3" t="s">
        <v>227</v>
      </c>
      <c r="O135" s="18">
        <v>15</v>
      </c>
      <c r="P135" s="3">
        <v>5.2</v>
      </c>
      <c r="Q135" s="3">
        <v>16.8</v>
      </c>
      <c r="R135" s="2" t="s">
        <v>37</v>
      </c>
      <c r="AN135" s="3">
        <v>10</v>
      </c>
      <c r="AO135" s="3">
        <v>0.86599999999999999</v>
      </c>
    </row>
    <row r="136" spans="1:41">
      <c r="A136" s="3">
        <v>90.1</v>
      </c>
      <c r="B136" s="3" t="s">
        <v>181</v>
      </c>
      <c r="C136" s="3" t="s">
        <v>230</v>
      </c>
      <c r="D136" s="3" t="s">
        <v>72</v>
      </c>
      <c r="F136" s="2" t="s">
        <v>159</v>
      </c>
      <c r="G136" s="3" t="s">
        <v>229</v>
      </c>
      <c r="H136" s="10">
        <v>41391</v>
      </c>
      <c r="I136" s="9">
        <v>0.47222222222222227</v>
      </c>
      <c r="J136" s="3">
        <v>26</v>
      </c>
      <c r="K136" s="3">
        <v>27.4</v>
      </c>
      <c r="L136" s="3">
        <v>35.700000000000003</v>
      </c>
      <c r="M136" s="3">
        <v>17</v>
      </c>
      <c r="N136" s="3" t="s">
        <v>231</v>
      </c>
      <c r="O136" s="18">
        <v>10</v>
      </c>
      <c r="P136" s="3">
        <v>7</v>
      </c>
      <c r="Q136" s="3">
        <v>28.9</v>
      </c>
      <c r="R136" s="2" t="s">
        <v>37</v>
      </c>
      <c r="S136" s="3" t="s">
        <v>38</v>
      </c>
      <c r="Y136" s="7">
        <v>41640</v>
      </c>
      <c r="Z136" s="3" t="s">
        <v>38</v>
      </c>
      <c r="AF136" s="7">
        <v>41640</v>
      </c>
      <c r="AG136" s="3" t="s">
        <v>212</v>
      </c>
    </row>
    <row r="137" spans="1:41">
      <c r="A137" s="3">
        <v>90.2</v>
      </c>
      <c r="B137" s="3" t="s">
        <v>181</v>
      </c>
      <c r="C137" s="3" t="s">
        <v>230</v>
      </c>
      <c r="D137" s="3" t="s">
        <v>72</v>
      </c>
      <c r="F137" s="2" t="s">
        <v>159</v>
      </c>
      <c r="G137" s="3" t="s">
        <v>70</v>
      </c>
      <c r="H137" s="10">
        <v>41391</v>
      </c>
      <c r="I137" s="9">
        <v>0.47222222222222227</v>
      </c>
      <c r="J137" s="3">
        <v>26</v>
      </c>
      <c r="K137" s="3">
        <v>27.4</v>
      </c>
      <c r="L137" s="3">
        <v>35.700000000000003</v>
      </c>
      <c r="M137" s="3">
        <v>17</v>
      </c>
      <c r="N137" s="3" t="s">
        <v>231</v>
      </c>
      <c r="O137" s="18">
        <v>10</v>
      </c>
      <c r="P137" s="3">
        <v>7</v>
      </c>
      <c r="Q137" s="3">
        <v>28.9</v>
      </c>
      <c r="R137" s="2" t="s">
        <v>37</v>
      </c>
      <c r="Y137" s="7"/>
      <c r="AF137" s="7"/>
    </row>
    <row r="138" spans="1:41">
      <c r="A138" s="3">
        <v>91.1</v>
      </c>
      <c r="B138" s="3" t="s">
        <v>181</v>
      </c>
      <c r="C138" s="3" t="s">
        <v>230</v>
      </c>
      <c r="D138" s="3">
        <v>-21.200700000000001</v>
      </c>
      <c r="E138" s="3">
        <v>-159.7714</v>
      </c>
      <c r="F138" s="2" t="s">
        <v>159</v>
      </c>
      <c r="G138" s="3" t="s">
        <v>232</v>
      </c>
      <c r="H138" s="10">
        <v>41391</v>
      </c>
      <c r="I138" s="9">
        <v>0.4861111111111111</v>
      </c>
      <c r="J138" s="3">
        <v>27</v>
      </c>
      <c r="K138" s="3">
        <v>27.4</v>
      </c>
      <c r="L138" s="3">
        <v>35.700000000000003</v>
      </c>
      <c r="M138" s="3">
        <v>16</v>
      </c>
      <c r="N138" s="3" t="s">
        <v>231</v>
      </c>
      <c r="O138" s="18">
        <v>10</v>
      </c>
      <c r="P138" s="3">
        <v>8.4</v>
      </c>
      <c r="Q138" s="3">
        <v>42.8</v>
      </c>
      <c r="R138" s="2" t="s">
        <v>37</v>
      </c>
      <c r="AN138" s="3">
        <v>20</v>
      </c>
      <c r="AO138" s="3">
        <v>0.79200000000000004</v>
      </c>
    </row>
    <row r="139" spans="1:41">
      <c r="A139" s="3">
        <v>91.2</v>
      </c>
      <c r="B139" s="3" t="s">
        <v>181</v>
      </c>
      <c r="C139" s="3" t="s">
        <v>230</v>
      </c>
      <c r="D139" s="3">
        <v>-21.200700000000001</v>
      </c>
      <c r="E139" s="3">
        <v>-159.7714</v>
      </c>
      <c r="F139" s="2" t="s">
        <v>159</v>
      </c>
      <c r="G139" s="3" t="s">
        <v>232</v>
      </c>
      <c r="H139" s="10">
        <v>41391</v>
      </c>
      <c r="I139" s="9">
        <v>0.4861111111111111</v>
      </c>
      <c r="J139" s="3">
        <v>27</v>
      </c>
      <c r="K139" s="3">
        <v>27.4</v>
      </c>
      <c r="L139" s="3">
        <v>35.700000000000003</v>
      </c>
      <c r="M139" s="3">
        <v>16</v>
      </c>
      <c r="N139" s="3" t="s">
        <v>231</v>
      </c>
      <c r="O139" s="18">
        <v>10</v>
      </c>
      <c r="P139" s="3">
        <v>8.4</v>
      </c>
      <c r="Q139" s="3">
        <v>42.8</v>
      </c>
      <c r="R139" s="2" t="s">
        <v>37</v>
      </c>
    </row>
    <row r="140" spans="1:41">
      <c r="A140" s="3">
        <v>92.1</v>
      </c>
      <c r="B140" s="3" t="s">
        <v>181</v>
      </c>
      <c r="C140" s="3" t="s">
        <v>233</v>
      </c>
      <c r="D140" s="3">
        <v>-21.23</v>
      </c>
      <c r="E140" s="3">
        <v>-159.83349999999999</v>
      </c>
      <c r="F140" s="2" t="s">
        <v>159</v>
      </c>
      <c r="G140" s="3" t="s">
        <v>234</v>
      </c>
      <c r="H140" s="10">
        <v>41391</v>
      </c>
      <c r="I140" s="9">
        <v>0.60069444444444442</v>
      </c>
      <c r="J140" s="3">
        <v>24</v>
      </c>
      <c r="K140" s="3">
        <v>27.3</v>
      </c>
      <c r="L140" s="3">
        <v>35.700000000000003</v>
      </c>
      <c r="M140" s="3">
        <v>17</v>
      </c>
      <c r="N140" s="3" t="s">
        <v>231</v>
      </c>
      <c r="O140" s="18">
        <v>10</v>
      </c>
      <c r="P140" s="3">
        <v>4.9000000000000004</v>
      </c>
      <c r="Q140" s="3">
        <v>14.7</v>
      </c>
      <c r="R140" s="2" t="s">
        <v>37</v>
      </c>
      <c r="AN140" s="3">
        <v>30</v>
      </c>
      <c r="AO140" s="3">
        <v>0.70399999999999996</v>
      </c>
    </row>
    <row r="141" spans="1:41">
      <c r="A141" s="3">
        <v>92.2</v>
      </c>
      <c r="B141" s="3" t="s">
        <v>181</v>
      </c>
      <c r="C141" s="3" t="s">
        <v>233</v>
      </c>
      <c r="D141" s="3">
        <v>-21.23</v>
      </c>
      <c r="E141" s="3">
        <v>-159.83349999999999</v>
      </c>
      <c r="F141" s="2" t="s">
        <v>159</v>
      </c>
      <c r="G141" s="3" t="s">
        <v>234</v>
      </c>
      <c r="H141" s="10">
        <v>41391</v>
      </c>
      <c r="I141" s="9">
        <v>0.60069444444444442</v>
      </c>
      <c r="J141" s="3">
        <v>24</v>
      </c>
      <c r="K141" s="3">
        <v>27.3</v>
      </c>
      <c r="L141" s="3">
        <v>35.700000000000003</v>
      </c>
      <c r="M141" s="3">
        <v>17</v>
      </c>
      <c r="N141" s="3" t="s">
        <v>231</v>
      </c>
      <c r="O141" s="18">
        <v>10</v>
      </c>
      <c r="P141" s="3">
        <v>4.9000000000000004</v>
      </c>
      <c r="Q141" s="3">
        <v>14.7</v>
      </c>
      <c r="R141" s="2" t="s">
        <v>37</v>
      </c>
    </row>
    <row r="142" spans="1:41">
      <c r="A142" s="3">
        <v>93.1</v>
      </c>
      <c r="B142" s="3" t="s">
        <v>181</v>
      </c>
      <c r="C142" s="3" t="s">
        <v>233</v>
      </c>
      <c r="D142" s="3">
        <v>-21.23</v>
      </c>
      <c r="E142" s="3">
        <v>-159.83349999999999</v>
      </c>
      <c r="F142" s="2" t="s">
        <v>159</v>
      </c>
      <c r="G142" s="3" t="s">
        <v>235</v>
      </c>
      <c r="H142" s="10">
        <v>41391</v>
      </c>
      <c r="I142" s="9">
        <v>0.60763888888888895</v>
      </c>
      <c r="J142" s="3">
        <v>26</v>
      </c>
      <c r="K142" s="3">
        <v>27.3</v>
      </c>
      <c r="L142" s="3">
        <v>35.700000000000003</v>
      </c>
      <c r="M142" s="3">
        <v>16</v>
      </c>
      <c r="N142" s="3" t="s">
        <v>231</v>
      </c>
      <c r="O142" s="18">
        <v>10</v>
      </c>
      <c r="P142" s="3">
        <v>6.4</v>
      </c>
      <c r="Q142" s="3">
        <v>26.6</v>
      </c>
      <c r="R142" s="2" t="s">
        <v>37</v>
      </c>
      <c r="AN142" s="11">
        <v>40</v>
      </c>
      <c r="AO142" s="11">
        <v>0.64800000000000002</v>
      </c>
    </row>
    <row r="143" spans="1:41">
      <c r="A143" s="3">
        <v>93.2</v>
      </c>
      <c r="B143" s="3" t="s">
        <v>181</v>
      </c>
      <c r="C143" s="3" t="s">
        <v>233</v>
      </c>
      <c r="D143" s="3">
        <v>-21.23</v>
      </c>
      <c r="E143" s="3">
        <v>-159.83349999999999</v>
      </c>
      <c r="F143" s="2" t="s">
        <v>159</v>
      </c>
      <c r="G143" s="3" t="s">
        <v>235</v>
      </c>
      <c r="H143" s="10">
        <v>41391</v>
      </c>
      <c r="I143" s="9">
        <v>0.60763888888888895</v>
      </c>
      <c r="J143" s="3">
        <v>26</v>
      </c>
      <c r="K143" s="3">
        <v>27.3</v>
      </c>
      <c r="L143" s="3">
        <v>35.700000000000003</v>
      </c>
      <c r="M143" s="3">
        <v>16</v>
      </c>
      <c r="N143" s="3" t="s">
        <v>231</v>
      </c>
      <c r="O143" s="18">
        <v>10</v>
      </c>
      <c r="P143" s="3">
        <v>6.4</v>
      </c>
      <c r="Q143" s="3">
        <v>26.6</v>
      </c>
      <c r="R143" s="2" t="s">
        <v>37</v>
      </c>
      <c r="AN143" s="19"/>
      <c r="AO143" s="19"/>
    </row>
    <row r="144" spans="1:41">
      <c r="A144" s="3">
        <v>94.1</v>
      </c>
      <c r="B144" s="3" t="s">
        <v>181</v>
      </c>
      <c r="C144" s="3" t="s">
        <v>233</v>
      </c>
      <c r="D144" s="3">
        <v>-21.23</v>
      </c>
      <c r="E144" s="3">
        <v>-159.83349999999999</v>
      </c>
      <c r="F144" s="2" t="s">
        <v>159</v>
      </c>
      <c r="G144" s="3" t="s">
        <v>70</v>
      </c>
      <c r="H144" s="10">
        <v>41391</v>
      </c>
      <c r="I144" s="9">
        <v>0.61805555555555558</v>
      </c>
      <c r="J144" s="3">
        <v>26</v>
      </c>
      <c r="K144" s="3">
        <v>27.3</v>
      </c>
      <c r="L144" s="3">
        <v>35.700000000000003</v>
      </c>
      <c r="M144" s="3">
        <v>16</v>
      </c>
      <c r="N144" s="3" t="s">
        <v>231</v>
      </c>
      <c r="O144" s="18">
        <v>15</v>
      </c>
      <c r="P144" s="3" t="s">
        <v>236</v>
      </c>
      <c r="R144" s="2" t="s">
        <v>37</v>
      </c>
      <c r="AN144" s="3">
        <v>50</v>
      </c>
      <c r="AO144" s="3">
        <v>0.59199999999999997</v>
      </c>
    </row>
    <row r="145" spans="1:46">
      <c r="A145" s="3">
        <v>94.2</v>
      </c>
      <c r="B145" s="3" t="s">
        <v>181</v>
      </c>
      <c r="C145" s="3" t="s">
        <v>233</v>
      </c>
      <c r="D145" s="3">
        <v>-21.23</v>
      </c>
      <c r="E145" s="3">
        <v>-159.83349999999999</v>
      </c>
      <c r="F145" s="1" t="s">
        <v>82</v>
      </c>
      <c r="G145" s="3" t="s">
        <v>237</v>
      </c>
      <c r="H145" s="10">
        <v>41391</v>
      </c>
      <c r="I145" s="9">
        <v>0.61805555555555558</v>
      </c>
      <c r="J145" s="3">
        <v>26</v>
      </c>
      <c r="K145" s="3">
        <v>27.3</v>
      </c>
      <c r="L145" s="3">
        <v>35.700000000000003</v>
      </c>
      <c r="M145" s="3">
        <v>16</v>
      </c>
      <c r="N145" s="3" t="s">
        <v>231</v>
      </c>
      <c r="O145" s="18">
        <v>15</v>
      </c>
      <c r="P145" s="3" t="s">
        <v>236</v>
      </c>
      <c r="R145" s="2" t="s">
        <v>37</v>
      </c>
      <c r="S145" s="3">
        <v>22.6</v>
      </c>
      <c r="T145" s="3">
        <v>2.27</v>
      </c>
      <c r="U145" s="3">
        <v>0.19</v>
      </c>
      <c r="V145" s="3">
        <f>30*22.6/1000</f>
        <v>0.67800000000000005</v>
      </c>
      <c r="W145" s="3" t="s">
        <v>60</v>
      </c>
      <c r="X145" s="3">
        <v>200</v>
      </c>
      <c r="Y145" s="7">
        <v>41640</v>
      </c>
      <c r="Z145" s="3" t="s">
        <v>38</v>
      </c>
      <c r="AF145" s="7">
        <v>41640</v>
      </c>
      <c r="AG145" s="3" t="s">
        <v>212</v>
      </c>
    </row>
    <row r="146" spans="1:46">
      <c r="A146" s="11">
        <v>95.1</v>
      </c>
      <c r="B146" s="11" t="s">
        <v>181</v>
      </c>
      <c r="C146" s="11" t="s">
        <v>238</v>
      </c>
      <c r="D146" s="11">
        <v>-21.1935</v>
      </c>
      <c r="E146" s="11">
        <v>-159.79650000000001</v>
      </c>
      <c r="F146" s="2" t="s">
        <v>159</v>
      </c>
      <c r="G146" s="11" t="s">
        <v>203</v>
      </c>
      <c r="H146" s="34">
        <v>41391</v>
      </c>
      <c r="I146" s="35">
        <v>0.69097222222222221</v>
      </c>
      <c r="J146" s="11">
        <v>26</v>
      </c>
      <c r="K146" s="11">
        <v>27.4</v>
      </c>
      <c r="L146" s="11">
        <v>35.700000000000003</v>
      </c>
      <c r="M146" s="11">
        <v>15</v>
      </c>
      <c r="N146" s="11" t="s">
        <v>239</v>
      </c>
      <c r="O146" s="37">
        <v>20</v>
      </c>
      <c r="P146" s="11">
        <v>10.9</v>
      </c>
      <c r="Q146" s="11">
        <v>55.2</v>
      </c>
      <c r="R146" s="16" t="s">
        <v>37</v>
      </c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</row>
    <row r="147" spans="1:46">
      <c r="A147" s="19">
        <v>95.2</v>
      </c>
      <c r="B147" s="19" t="s">
        <v>181</v>
      </c>
      <c r="C147" s="19" t="s">
        <v>238</v>
      </c>
      <c r="D147" s="19">
        <v>-21.1935</v>
      </c>
      <c r="E147" s="19">
        <v>-159.79650000000001</v>
      </c>
      <c r="F147" s="2" t="s">
        <v>159</v>
      </c>
      <c r="G147" s="11" t="s">
        <v>203</v>
      </c>
      <c r="H147" s="20">
        <v>41391</v>
      </c>
      <c r="I147" s="21">
        <v>0.69097222222222221</v>
      </c>
      <c r="J147" s="19">
        <v>26</v>
      </c>
      <c r="K147" s="19">
        <v>27.4</v>
      </c>
      <c r="L147" s="19">
        <v>35.700000000000003</v>
      </c>
      <c r="M147" s="19">
        <v>15</v>
      </c>
      <c r="N147" s="19" t="s">
        <v>239</v>
      </c>
      <c r="O147" s="38">
        <v>20</v>
      </c>
      <c r="P147" s="19">
        <v>10.9</v>
      </c>
      <c r="Q147" s="19">
        <v>55.2</v>
      </c>
      <c r="R147" s="17" t="s">
        <v>37</v>
      </c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</row>
    <row r="148" spans="1:46">
      <c r="A148" s="3">
        <v>96.1</v>
      </c>
      <c r="B148" s="3" t="s">
        <v>240</v>
      </c>
      <c r="C148" s="3" t="s">
        <v>241</v>
      </c>
      <c r="D148" s="3">
        <v>-18.904299999999999</v>
      </c>
      <c r="E148" s="3">
        <v>-159.7236</v>
      </c>
      <c r="F148" s="1" t="s">
        <v>82</v>
      </c>
      <c r="G148" s="3" t="s">
        <v>242</v>
      </c>
      <c r="H148" s="10">
        <v>41392</v>
      </c>
      <c r="I148" s="9">
        <v>0.41666666666666669</v>
      </c>
      <c r="J148" s="3">
        <v>28</v>
      </c>
      <c r="K148" s="3">
        <v>28.6</v>
      </c>
      <c r="L148" s="3">
        <v>35.5</v>
      </c>
      <c r="M148" s="3">
        <v>11.5</v>
      </c>
      <c r="N148" s="3" t="s">
        <v>243</v>
      </c>
      <c r="O148" s="3">
        <v>20</v>
      </c>
      <c r="P148" s="3">
        <v>8.9</v>
      </c>
      <c r="Q148" s="3">
        <v>31</v>
      </c>
      <c r="R148" s="2" t="s">
        <v>37</v>
      </c>
      <c r="Y148" s="7">
        <v>41640</v>
      </c>
      <c r="Z148" s="3">
        <v>9.6</v>
      </c>
      <c r="AA148" s="3">
        <v>2.2599999999999998</v>
      </c>
      <c r="AB148" s="3">
        <v>0.04</v>
      </c>
      <c r="AC148" s="3">
        <f>9.6*50/1000</f>
        <v>0.48</v>
      </c>
      <c r="AD148" s="3" t="s">
        <v>244</v>
      </c>
      <c r="AF148" s="7">
        <v>41640</v>
      </c>
      <c r="AG148" s="3" t="s">
        <v>212</v>
      </c>
    </row>
    <row r="149" spans="1:46">
      <c r="A149" s="3">
        <v>96.2</v>
      </c>
      <c r="B149" s="3" t="s">
        <v>240</v>
      </c>
      <c r="C149" s="3" t="s">
        <v>241</v>
      </c>
      <c r="D149" s="3">
        <v>-18.904299999999999</v>
      </c>
      <c r="E149" s="3">
        <v>-159.7236</v>
      </c>
      <c r="F149" s="1" t="s">
        <v>82</v>
      </c>
      <c r="G149" s="3" t="s">
        <v>242</v>
      </c>
      <c r="H149" s="10">
        <v>41392</v>
      </c>
      <c r="I149" s="9">
        <v>0.41666666666666669</v>
      </c>
      <c r="J149" s="3">
        <v>28</v>
      </c>
      <c r="K149" s="3">
        <v>28.6</v>
      </c>
      <c r="L149" s="3">
        <v>35.5</v>
      </c>
      <c r="M149" s="3">
        <v>11.5</v>
      </c>
      <c r="N149" s="3" t="s">
        <v>243</v>
      </c>
      <c r="O149" s="3">
        <v>20</v>
      </c>
      <c r="P149" s="3">
        <v>8.9</v>
      </c>
      <c r="Q149" s="3">
        <v>31</v>
      </c>
      <c r="R149" s="2" t="s">
        <v>37</v>
      </c>
      <c r="S149" s="3">
        <v>62.3</v>
      </c>
      <c r="T149" s="3">
        <v>2.12</v>
      </c>
      <c r="U149" s="3">
        <v>0.55000000000000004</v>
      </c>
      <c r="V149" s="3">
        <f>30*62.3/1000</f>
        <v>1.869</v>
      </c>
      <c r="W149" s="3" t="s">
        <v>47</v>
      </c>
      <c r="X149" s="3">
        <v>200</v>
      </c>
      <c r="Y149" s="7">
        <v>41640</v>
      </c>
      <c r="Z149" s="3" t="s">
        <v>38</v>
      </c>
      <c r="AF149" s="7">
        <v>41640</v>
      </c>
      <c r="AG149" s="3" t="s">
        <v>212</v>
      </c>
    </row>
    <row r="150" spans="1:46">
      <c r="A150" s="3">
        <v>97.1</v>
      </c>
      <c r="B150" s="3" t="s">
        <v>240</v>
      </c>
      <c r="C150" s="3" t="s">
        <v>241</v>
      </c>
      <c r="D150" s="3" t="s">
        <v>72</v>
      </c>
      <c r="F150" s="1" t="s">
        <v>82</v>
      </c>
      <c r="G150" s="3" t="s">
        <v>245</v>
      </c>
      <c r="H150" s="10">
        <v>41392</v>
      </c>
      <c r="I150" s="9">
        <v>0.4236111111111111</v>
      </c>
      <c r="J150" s="3">
        <v>28</v>
      </c>
      <c r="K150" s="3">
        <v>28.6</v>
      </c>
      <c r="L150" s="3">
        <v>35.5</v>
      </c>
      <c r="M150" s="3">
        <v>10</v>
      </c>
      <c r="N150" s="3" t="s">
        <v>243</v>
      </c>
      <c r="O150" s="18">
        <v>20</v>
      </c>
      <c r="P150" s="3">
        <v>5.8</v>
      </c>
      <c r="Q150" s="3">
        <v>14.4</v>
      </c>
      <c r="R150" s="2" t="s">
        <v>37</v>
      </c>
      <c r="S150" s="3">
        <v>61</v>
      </c>
      <c r="T150" s="3">
        <v>2.17</v>
      </c>
      <c r="U150" s="3">
        <v>0.6</v>
      </c>
      <c r="V150" s="3">
        <f>61*30/1000</f>
        <v>1.83</v>
      </c>
      <c r="W150" s="3" t="s">
        <v>47</v>
      </c>
      <c r="X150" s="3">
        <v>200</v>
      </c>
      <c r="Y150" s="7">
        <v>41640</v>
      </c>
      <c r="Z150" s="3">
        <v>41.2</v>
      </c>
      <c r="AA150" s="3">
        <v>1.84</v>
      </c>
      <c r="AB150" s="3">
        <v>0.23</v>
      </c>
      <c r="AC150" s="3">
        <f>41.285*50/1000</f>
        <v>2.0642499999999999</v>
      </c>
      <c r="AD150" s="3" t="s">
        <v>44</v>
      </c>
      <c r="AE150" s="3">
        <f>V150/AC150</f>
        <v>0.88652052803681736</v>
      </c>
      <c r="AF150" s="7">
        <v>41640</v>
      </c>
      <c r="AG150" s="3" t="s">
        <v>212</v>
      </c>
    </row>
    <row r="151" spans="1:46">
      <c r="A151" s="3">
        <v>98.1</v>
      </c>
      <c r="B151" s="3" t="s">
        <v>240</v>
      </c>
      <c r="C151" s="3" t="s">
        <v>241</v>
      </c>
      <c r="D151" s="3">
        <v>-18.904299999999999</v>
      </c>
      <c r="E151" s="3">
        <v>-159.7236</v>
      </c>
      <c r="F151" s="1" t="s">
        <v>82</v>
      </c>
      <c r="G151" s="3" t="s">
        <v>246</v>
      </c>
      <c r="H151" s="10">
        <v>41392</v>
      </c>
      <c r="I151" s="9">
        <v>0.42708333333333331</v>
      </c>
      <c r="J151" s="3">
        <v>28</v>
      </c>
      <c r="K151" s="3">
        <v>28.6</v>
      </c>
      <c r="L151" s="3">
        <v>35.5</v>
      </c>
      <c r="M151" s="3">
        <v>10.5</v>
      </c>
      <c r="N151" s="3" t="s">
        <v>216</v>
      </c>
      <c r="O151" s="18">
        <v>25</v>
      </c>
      <c r="P151" s="3">
        <v>8.6999999999999993</v>
      </c>
      <c r="Q151" s="3">
        <v>39.799999999999997</v>
      </c>
      <c r="R151" s="2" t="s">
        <v>37</v>
      </c>
    </row>
    <row r="152" spans="1:46">
      <c r="A152" s="3">
        <v>98.2</v>
      </c>
      <c r="B152" s="3" t="s">
        <v>240</v>
      </c>
      <c r="C152" s="3" t="s">
        <v>241</v>
      </c>
      <c r="D152" s="3">
        <v>-18.904299999999999</v>
      </c>
      <c r="E152" s="3">
        <v>-159.7236</v>
      </c>
      <c r="F152" s="1" t="s">
        <v>82</v>
      </c>
      <c r="G152" s="3" t="s">
        <v>246</v>
      </c>
      <c r="H152" s="10">
        <v>41392</v>
      </c>
      <c r="I152" s="9">
        <v>0.42708333333333331</v>
      </c>
      <c r="J152" s="3">
        <v>28</v>
      </c>
      <c r="K152" s="3">
        <v>28.6</v>
      </c>
      <c r="L152" s="3">
        <v>35.5</v>
      </c>
      <c r="M152" s="3">
        <v>10.5</v>
      </c>
      <c r="N152" s="3" t="s">
        <v>216</v>
      </c>
      <c r="O152" s="18">
        <v>25</v>
      </c>
      <c r="P152" s="3">
        <v>8.6999999999999993</v>
      </c>
      <c r="Q152" s="3">
        <v>39.799999999999997</v>
      </c>
      <c r="R152" s="2" t="s">
        <v>37</v>
      </c>
      <c r="S152" s="3">
        <v>26.6</v>
      </c>
      <c r="T152" s="3">
        <v>2.1</v>
      </c>
      <c r="U152" s="3">
        <v>0.73</v>
      </c>
      <c r="V152" s="3">
        <f>26.6*30/1000</f>
        <v>0.79800000000000004</v>
      </c>
      <c r="W152" s="3" t="s">
        <v>60</v>
      </c>
      <c r="X152" s="3">
        <v>200</v>
      </c>
      <c r="Y152" s="7">
        <v>41640</v>
      </c>
      <c r="Z152" s="3">
        <v>51.5</v>
      </c>
      <c r="AA152" s="3">
        <v>1.92</v>
      </c>
      <c r="AB152" s="3">
        <v>1.19</v>
      </c>
      <c r="AC152" s="3">
        <f>51.5*50/1000</f>
        <v>2.5750000000000002</v>
      </c>
      <c r="AD152" s="3" t="s">
        <v>44</v>
      </c>
      <c r="AE152" s="3">
        <f>V152/AC152</f>
        <v>0.30990291262135922</v>
      </c>
      <c r="AF152" s="7">
        <v>41640</v>
      </c>
      <c r="AG152" s="3" t="s">
        <v>212</v>
      </c>
      <c r="AJ152" s="3" t="s">
        <v>125</v>
      </c>
    </row>
    <row r="153" spans="1:46">
      <c r="B153" s="3" t="s">
        <v>240</v>
      </c>
      <c r="C153" s="3" t="s">
        <v>247</v>
      </c>
      <c r="D153" s="3">
        <v>-18.8184</v>
      </c>
      <c r="E153" s="3">
        <v>-159.77350000000001</v>
      </c>
      <c r="F153" s="2" t="s">
        <v>248</v>
      </c>
      <c r="H153" s="10">
        <v>41392</v>
      </c>
      <c r="K153" s="3">
        <v>28.6</v>
      </c>
      <c r="L153" s="3">
        <v>35.5</v>
      </c>
    </row>
    <row r="154" spans="1:46">
      <c r="A154" s="3">
        <v>99.1</v>
      </c>
      <c r="B154" s="3" t="s">
        <v>240</v>
      </c>
      <c r="C154" s="3" t="s">
        <v>249</v>
      </c>
      <c r="D154" s="3">
        <v>-18.889700000000001</v>
      </c>
      <c r="E154" s="3">
        <v>-159.8272</v>
      </c>
      <c r="F154" s="1" t="s">
        <v>82</v>
      </c>
      <c r="G154" s="3" t="s">
        <v>250</v>
      </c>
      <c r="H154" s="10">
        <v>41393</v>
      </c>
      <c r="I154" s="9">
        <v>0.43055555555555558</v>
      </c>
      <c r="J154" s="3">
        <v>27</v>
      </c>
      <c r="K154" s="3">
        <v>28.4</v>
      </c>
      <c r="L154" s="3">
        <v>35.5</v>
      </c>
      <c r="M154" s="3">
        <v>5</v>
      </c>
      <c r="N154" s="3" t="s">
        <v>251</v>
      </c>
      <c r="O154" s="3">
        <v>30</v>
      </c>
      <c r="P154" s="3">
        <v>4.3</v>
      </c>
      <c r="Q154" s="3">
        <v>8.9</v>
      </c>
      <c r="R154" s="2" t="s">
        <v>37</v>
      </c>
      <c r="S154" s="3">
        <v>43.5</v>
      </c>
      <c r="T154" s="3">
        <v>2.19</v>
      </c>
      <c r="U154" s="3">
        <v>0.49</v>
      </c>
      <c r="V154" s="3">
        <f>43.5*30/1000</f>
        <v>1.3049999999999999</v>
      </c>
      <c r="W154" s="3" t="s">
        <v>47</v>
      </c>
      <c r="X154" s="3">
        <v>200</v>
      </c>
      <c r="Y154" s="7">
        <v>41640</v>
      </c>
      <c r="Z154" s="3">
        <v>49.8</v>
      </c>
      <c r="AA154" s="3">
        <v>1.93</v>
      </c>
      <c r="AB154" s="3">
        <v>0.34</v>
      </c>
      <c r="AC154" s="3">
        <f>50*49.8/1000</f>
        <v>2.4900000000000002</v>
      </c>
      <c r="AD154" s="3" t="s">
        <v>44</v>
      </c>
      <c r="AE154" s="3">
        <f>V154/AC154</f>
        <v>0.52409638554216864</v>
      </c>
      <c r="AF154" s="7">
        <v>41640</v>
      </c>
      <c r="AG154" s="3" t="s">
        <v>212</v>
      </c>
      <c r="AJ154" s="3" t="s">
        <v>252</v>
      </c>
    </row>
    <row r="155" spans="1:46">
      <c r="A155" s="3">
        <v>100.1</v>
      </c>
      <c r="B155" s="3" t="s">
        <v>240</v>
      </c>
      <c r="C155" s="3" t="s">
        <v>253</v>
      </c>
      <c r="D155" s="3">
        <v>-18.8672</v>
      </c>
      <c r="E155" s="3">
        <v>-159.81880000000001</v>
      </c>
      <c r="F155" s="1" t="s">
        <v>82</v>
      </c>
      <c r="G155" s="3" t="s">
        <v>254</v>
      </c>
      <c r="H155" s="10">
        <v>41393</v>
      </c>
      <c r="I155" s="9">
        <v>0.5</v>
      </c>
      <c r="J155" s="3" t="s">
        <v>42</v>
      </c>
      <c r="K155" s="3">
        <v>28.4</v>
      </c>
      <c r="L155" s="3">
        <v>35.5</v>
      </c>
      <c r="M155" s="3">
        <v>10</v>
      </c>
      <c r="N155" s="3" t="s">
        <v>251</v>
      </c>
      <c r="O155" s="3">
        <v>30</v>
      </c>
      <c r="P155" s="3">
        <v>3.2</v>
      </c>
      <c r="Q155" s="3">
        <v>4.7</v>
      </c>
      <c r="R155" s="2" t="s">
        <v>37</v>
      </c>
      <c r="S155" s="3" t="s">
        <v>18</v>
      </c>
      <c r="T155" s="3" t="s">
        <v>19</v>
      </c>
      <c r="U155" s="3" t="s">
        <v>20</v>
      </c>
      <c r="V155" s="3" t="s">
        <v>21</v>
      </c>
      <c r="W155" s="3" t="s">
        <v>22</v>
      </c>
      <c r="X155" s="3" t="s">
        <v>23</v>
      </c>
      <c r="Y155" s="3" t="s">
        <v>7</v>
      </c>
      <c r="Z155" s="3" t="s">
        <v>24</v>
      </c>
      <c r="AA155" s="3" t="s">
        <v>19</v>
      </c>
      <c r="AB155" s="3" t="s">
        <v>20</v>
      </c>
      <c r="AC155" s="3" t="s">
        <v>25</v>
      </c>
      <c r="AD155" s="3" t="s">
        <v>22</v>
      </c>
      <c r="AF155" s="3" t="s">
        <v>7</v>
      </c>
      <c r="AG155" s="3" t="s">
        <v>27</v>
      </c>
      <c r="AH155" s="3" t="s">
        <v>28</v>
      </c>
      <c r="AI155" s="3" t="s">
        <v>29</v>
      </c>
      <c r="AJ155" s="3" t="s">
        <v>30</v>
      </c>
      <c r="AK155" s="3" t="s">
        <v>31</v>
      </c>
      <c r="AL155" s="3" t="s">
        <v>6</v>
      </c>
    </row>
    <row r="156" spans="1:46">
      <c r="A156" s="3">
        <v>100.2</v>
      </c>
      <c r="B156" s="3" t="s">
        <v>240</v>
      </c>
      <c r="C156" s="3" t="s">
        <v>253</v>
      </c>
      <c r="D156" s="3">
        <v>-18.8672</v>
      </c>
      <c r="E156" s="3">
        <v>-159.81880000000001</v>
      </c>
      <c r="F156" s="1" t="s">
        <v>82</v>
      </c>
      <c r="G156" s="3" t="s">
        <v>254</v>
      </c>
      <c r="H156" s="10">
        <v>41393</v>
      </c>
      <c r="I156" s="9">
        <v>0.5</v>
      </c>
      <c r="J156" s="3" t="s">
        <v>42</v>
      </c>
      <c r="K156" s="3">
        <v>28.4</v>
      </c>
      <c r="L156" s="3">
        <v>35.5</v>
      </c>
      <c r="M156" s="3">
        <v>10</v>
      </c>
      <c r="N156" s="3" t="s">
        <v>251</v>
      </c>
      <c r="O156" s="3">
        <v>30</v>
      </c>
      <c r="P156" s="3">
        <v>3.2</v>
      </c>
      <c r="Q156" s="3">
        <v>4.7</v>
      </c>
      <c r="R156" s="2" t="s">
        <v>37</v>
      </c>
      <c r="S156" s="3">
        <v>52.3</v>
      </c>
      <c r="T156" s="3">
        <v>2.12</v>
      </c>
      <c r="U156" s="3">
        <v>0.63</v>
      </c>
      <c r="V156" s="3">
        <f>30*52.3/1000</f>
        <v>1.569</v>
      </c>
      <c r="W156" s="3" t="s">
        <v>47</v>
      </c>
      <c r="X156" s="3">
        <v>200</v>
      </c>
      <c r="Y156" s="7">
        <v>41640</v>
      </c>
      <c r="Z156" s="3">
        <v>47.7</v>
      </c>
      <c r="AA156" s="3">
        <v>1.95</v>
      </c>
      <c r="AB156" s="3">
        <v>0.37</v>
      </c>
      <c r="AC156" s="3">
        <f>50*Z156/1000</f>
        <v>2.3849999999999998</v>
      </c>
      <c r="AD156" s="3" t="s">
        <v>44</v>
      </c>
      <c r="AE156" s="3">
        <f>V156/AC156</f>
        <v>0.65786163522012586</v>
      </c>
      <c r="AF156" s="7">
        <v>41640</v>
      </c>
      <c r="AG156" s="3" t="s">
        <v>212</v>
      </c>
    </row>
    <row r="157" spans="1:46">
      <c r="A157" s="3">
        <v>101.1</v>
      </c>
      <c r="B157" s="3" t="s">
        <v>240</v>
      </c>
      <c r="C157" s="3" t="s">
        <v>253</v>
      </c>
      <c r="D157" s="3">
        <v>-18.8672</v>
      </c>
      <c r="E157" s="3">
        <v>-159.81880000000001</v>
      </c>
      <c r="F157" s="1" t="s">
        <v>82</v>
      </c>
      <c r="G157" s="3" t="s">
        <v>255</v>
      </c>
      <c r="H157" s="10">
        <v>41393</v>
      </c>
      <c r="I157" s="9">
        <v>0.51041666666666663</v>
      </c>
      <c r="J157" s="3" t="s">
        <v>42</v>
      </c>
      <c r="K157" s="3">
        <v>28.4</v>
      </c>
      <c r="L157" s="3">
        <v>35.5</v>
      </c>
      <c r="M157" s="3">
        <v>6.5</v>
      </c>
      <c r="N157" s="3" t="s">
        <v>251</v>
      </c>
      <c r="O157" s="3">
        <v>25</v>
      </c>
      <c r="P157" s="3">
        <v>5.6</v>
      </c>
      <c r="Q157" s="3">
        <v>8</v>
      </c>
      <c r="R157" s="2" t="s">
        <v>37</v>
      </c>
      <c r="S157" s="3">
        <v>17.5</v>
      </c>
      <c r="T157" s="3">
        <v>1.94</v>
      </c>
      <c r="U157" s="3">
        <v>0.54</v>
      </c>
      <c r="V157" s="3">
        <f>S157*30/1000</f>
        <v>0.52500000000000002</v>
      </c>
      <c r="W157" s="3" t="s">
        <v>64</v>
      </c>
      <c r="X157" s="3">
        <v>175</v>
      </c>
      <c r="Y157" s="7">
        <v>41518</v>
      </c>
      <c r="Z157" s="3">
        <v>92</v>
      </c>
      <c r="AA157" s="3">
        <v>1.79</v>
      </c>
      <c r="AB157" s="3">
        <v>4.12</v>
      </c>
      <c r="AC157" s="3">
        <f>Z157*50/1000</f>
        <v>4.5999999999999996</v>
      </c>
      <c r="AD157" s="3" t="s">
        <v>44</v>
      </c>
      <c r="AE157" s="3">
        <f>V157/AC157</f>
        <v>0.1141304347826087</v>
      </c>
      <c r="AF157" s="7">
        <v>41518</v>
      </c>
      <c r="AG157" s="3">
        <v>0.77200000000000002</v>
      </c>
      <c r="AH157" s="3">
        <f>(AG157-0.8069)/-0.0071</f>
        <v>4.9154929577464692</v>
      </c>
      <c r="AI157" s="3">
        <f>AH157/20*1000</f>
        <v>245.77464788732345</v>
      </c>
      <c r="AJ157" s="3">
        <f>AI157*150*2/1000</f>
        <v>73.732394366197042</v>
      </c>
      <c r="AK157" s="3">
        <f>20000/AI157</f>
        <v>81.375358166189272</v>
      </c>
      <c r="AL157" s="3" t="s">
        <v>256</v>
      </c>
      <c r="AT157" s="3" t="s">
        <v>257</v>
      </c>
    </row>
    <row r="158" spans="1:46">
      <c r="A158" s="3">
        <v>101.2</v>
      </c>
      <c r="B158" s="3" t="s">
        <v>240</v>
      </c>
      <c r="C158" s="3" t="s">
        <v>253</v>
      </c>
      <c r="D158" s="3">
        <v>-18.8672</v>
      </c>
      <c r="E158" s="3">
        <v>-159.81880000000001</v>
      </c>
      <c r="F158" s="1" t="s">
        <v>82</v>
      </c>
      <c r="G158" s="3" t="s">
        <v>255</v>
      </c>
      <c r="H158" s="10">
        <v>41393</v>
      </c>
      <c r="I158" s="9">
        <v>0.51041666666666663</v>
      </c>
      <c r="J158" s="3" t="s">
        <v>42</v>
      </c>
      <c r="K158" s="3">
        <v>28.4</v>
      </c>
      <c r="L158" s="3">
        <v>35.5</v>
      </c>
      <c r="M158" s="3">
        <v>6.5</v>
      </c>
      <c r="N158" s="3" t="s">
        <v>251</v>
      </c>
      <c r="O158" s="3">
        <v>25</v>
      </c>
      <c r="P158" s="3">
        <v>5.6</v>
      </c>
      <c r="Q158" s="3">
        <v>8</v>
      </c>
      <c r="R158" s="2" t="s">
        <v>37</v>
      </c>
      <c r="S158" s="3">
        <v>40.799999999999997</v>
      </c>
      <c r="T158" s="3">
        <v>2.14</v>
      </c>
      <c r="U158" s="3">
        <v>1.7</v>
      </c>
      <c r="V158" s="3">
        <f>40.8*30/1000</f>
        <v>1.224</v>
      </c>
      <c r="W158" s="3" t="s">
        <v>47</v>
      </c>
      <c r="X158" s="3">
        <v>200</v>
      </c>
      <c r="Y158" s="7">
        <v>41609</v>
      </c>
      <c r="Z158" s="3" t="s">
        <v>79</v>
      </c>
      <c r="AF158" s="7"/>
      <c r="AG158" s="3" t="s">
        <v>79</v>
      </c>
    </row>
    <row r="159" spans="1:46">
      <c r="A159" s="3">
        <v>102</v>
      </c>
      <c r="B159" s="3" t="s">
        <v>240</v>
      </c>
      <c r="C159" s="3" t="s">
        <v>258</v>
      </c>
      <c r="D159" s="3">
        <v>-18.833100000000002</v>
      </c>
      <c r="E159" s="3">
        <v>-159.79409999999999</v>
      </c>
      <c r="F159" s="1" t="s">
        <v>82</v>
      </c>
      <c r="G159" s="3" t="s">
        <v>259</v>
      </c>
      <c r="H159" s="10">
        <v>41394</v>
      </c>
      <c r="I159" s="9">
        <v>0.375</v>
      </c>
      <c r="J159" s="3" t="s">
        <v>42</v>
      </c>
      <c r="K159" s="3">
        <v>28.4</v>
      </c>
      <c r="L159" s="3">
        <v>35.299999999999997</v>
      </c>
      <c r="M159" s="3">
        <v>15</v>
      </c>
      <c r="N159" s="3" t="s">
        <v>251</v>
      </c>
      <c r="O159" s="3">
        <v>25</v>
      </c>
      <c r="P159" s="3">
        <v>3.5</v>
      </c>
      <c r="Q159" s="3">
        <v>3.1</v>
      </c>
      <c r="R159" s="2" t="s">
        <v>37</v>
      </c>
      <c r="S159" s="3">
        <v>22.8</v>
      </c>
      <c r="T159" s="3">
        <v>2.0699999999999998</v>
      </c>
      <c r="U159" s="3">
        <v>0.35</v>
      </c>
      <c r="V159" s="3">
        <f t="shared" ref="V159:V167" si="2">S159*30/1000</f>
        <v>0.68400000000000005</v>
      </c>
      <c r="W159" s="3" t="s">
        <v>64</v>
      </c>
      <c r="X159" s="3">
        <v>228</v>
      </c>
      <c r="Y159" s="7">
        <v>41518</v>
      </c>
      <c r="Z159" s="3">
        <v>61</v>
      </c>
      <c r="AA159" s="3">
        <v>1.63</v>
      </c>
      <c r="AB159" s="3">
        <v>2.5299999999999998</v>
      </c>
      <c r="AC159" s="3">
        <f t="shared" ref="AC159:AC167" si="3">Z159*50/1000</f>
        <v>3.05</v>
      </c>
      <c r="AD159" s="3" t="s">
        <v>44</v>
      </c>
      <c r="AE159" s="3">
        <f>V159/AC159</f>
        <v>0.22426229508196724</v>
      </c>
      <c r="AF159" s="7">
        <v>41518</v>
      </c>
      <c r="AG159" s="3">
        <v>0.85199999999999998</v>
      </c>
      <c r="AH159" s="3">
        <v>0</v>
      </c>
      <c r="AI159" s="3">
        <v>0</v>
      </c>
      <c r="AJ159" s="3">
        <v>0</v>
      </c>
      <c r="AK159" s="3" t="s">
        <v>42</v>
      </c>
      <c r="AL159" s="3" t="s">
        <v>256</v>
      </c>
    </row>
    <row r="160" spans="1:46">
      <c r="A160" s="3">
        <v>103.1</v>
      </c>
      <c r="B160" s="3" t="s">
        <v>240</v>
      </c>
      <c r="C160" s="3" t="s">
        <v>258</v>
      </c>
      <c r="D160" s="3">
        <v>-18.833100000000002</v>
      </c>
      <c r="E160" s="3">
        <v>-159.79409999999999</v>
      </c>
      <c r="F160" s="1" t="s">
        <v>82</v>
      </c>
      <c r="G160" s="3" t="s">
        <v>260</v>
      </c>
      <c r="H160" s="10">
        <v>41394</v>
      </c>
      <c r="I160" s="9">
        <v>0.39583333333333331</v>
      </c>
      <c r="J160" s="3" t="s">
        <v>42</v>
      </c>
      <c r="K160" s="3">
        <v>28.4</v>
      </c>
      <c r="L160" s="3">
        <v>35.299999999999997</v>
      </c>
      <c r="M160" s="3">
        <v>15</v>
      </c>
      <c r="N160" s="3" t="s">
        <v>251</v>
      </c>
      <c r="O160" s="3">
        <v>30</v>
      </c>
      <c r="P160" s="3">
        <v>2.6</v>
      </c>
      <c r="Q160" s="3">
        <v>3.8</v>
      </c>
      <c r="R160" s="2" t="s">
        <v>37</v>
      </c>
      <c r="S160" s="3">
        <v>19</v>
      </c>
      <c r="T160" s="3">
        <v>1.94</v>
      </c>
      <c r="U160" s="3">
        <v>0.45</v>
      </c>
      <c r="V160" s="3">
        <f t="shared" si="2"/>
        <v>0.56999999999999995</v>
      </c>
      <c r="W160" s="3" t="s">
        <v>64</v>
      </c>
      <c r="X160" s="3">
        <v>190</v>
      </c>
      <c r="Y160" s="7">
        <v>41518</v>
      </c>
      <c r="Z160" s="3">
        <v>80.5</v>
      </c>
      <c r="AA160" s="3">
        <v>1.76</v>
      </c>
      <c r="AB160" s="3">
        <v>3.59</v>
      </c>
      <c r="AC160" s="3">
        <f t="shared" si="3"/>
        <v>4.0250000000000004</v>
      </c>
      <c r="AD160" s="3" t="s">
        <v>44</v>
      </c>
      <c r="AE160" s="3">
        <f>V160/AC160</f>
        <v>0.1416149068322981</v>
      </c>
      <c r="AF160" s="7">
        <v>41518</v>
      </c>
      <c r="AG160" s="3">
        <v>0.76800000000000002</v>
      </c>
      <c r="AH160" s="3">
        <f>(0.768-0.8069)/-0.0071</f>
        <v>5.4788732394366102</v>
      </c>
      <c r="AI160" s="3">
        <f>AH160/20*1000</f>
        <v>273.94366197183052</v>
      </c>
      <c r="AJ160" s="3">
        <f>AI160*150*2/1000</f>
        <v>82.183098591549168</v>
      </c>
      <c r="AK160" s="3">
        <f>20000/AI160</f>
        <v>73.00771208226233</v>
      </c>
      <c r="AL160" s="3" t="s">
        <v>261</v>
      </c>
      <c r="AS160" s="3" t="s">
        <v>262</v>
      </c>
    </row>
    <row r="161" spans="1:46">
      <c r="A161" s="3">
        <v>103.2</v>
      </c>
      <c r="B161" s="3" t="s">
        <v>240</v>
      </c>
      <c r="C161" s="3" t="s">
        <v>258</v>
      </c>
      <c r="D161" s="3">
        <v>-18.833100000000002</v>
      </c>
      <c r="E161" s="3">
        <v>-159.79409999999999</v>
      </c>
      <c r="F161" s="1" t="s">
        <v>82</v>
      </c>
      <c r="G161" s="3" t="s">
        <v>260</v>
      </c>
      <c r="H161" s="10">
        <v>41394</v>
      </c>
      <c r="I161" s="9">
        <v>0.39583333333333331</v>
      </c>
      <c r="J161" s="3" t="s">
        <v>42</v>
      </c>
      <c r="K161" s="3">
        <v>28.4</v>
      </c>
      <c r="L161" s="3">
        <v>35.299999999999997</v>
      </c>
      <c r="M161" s="3">
        <v>15</v>
      </c>
      <c r="N161" s="3" t="s">
        <v>251</v>
      </c>
      <c r="O161" s="3">
        <v>30</v>
      </c>
      <c r="P161" s="3">
        <v>2.6</v>
      </c>
      <c r="Q161" s="3">
        <v>3.8</v>
      </c>
      <c r="R161" s="2" t="s">
        <v>37</v>
      </c>
      <c r="S161" s="3">
        <v>32.200000000000003</v>
      </c>
      <c r="T161" s="3">
        <v>2.14</v>
      </c>
      <c r="U161" s="3">
        <v>0.36</v>
      </c>
      <c r="V161" s="3">
        <f>32.2*30/1000</f>
        <v>0.96600000000000008</v>
      </c>
      <c r="W161" s="3" t="s">
        <v>47</v>
      </c>
      <c r="X161" s="3">
        <v>200</v>
      </c>
      <c r="Y161" s="7">
        <v>41609</v>
      </c>
      <c r="Z161" s="3" t="s">
        <v>38</v>
      </c>
      <c r="AF161" s="7">
        <v>41609</v>
      </c>
      <c r="AG161" s="3" t="s">
        <v>79</v>
      </c>
      <c r="AL161" s="3" t="s">
        <v>125</v>
      </c>
    </row>
    <row r="162" spans="1:46">
      <c r="A162" s="3" t="s">
        <v>263</v>
      </c>
      <c r="B162" s="3" t="s">
        <v>240</v>
      </c>
      <c r="C162" s="3" t="s">
        <v>264</v>
      </c>
      <c r="D162" s="3">
        <v>-18.917300000000001</v>
      </c>
      <c r="E162" s="3">
        <v>-159.84520000000001</v>
      </c>
      <c r="F162" s="1" t="s">
        <v>82</v>
      </c>
      <c r="G162" s="3" t="s">
        <v>265</v>
      </c>
      <c r="H162" s="10">
        <v>41394</v>
      </c>
      <c r="I162" s="9">
        <v>0.46875</v>
      </c>
      <c r="J162" s="3" t="s">
        <v>42</v>
      </c>
      <c r="K162" s="3">
        <v>28.3</v>
      </c>
      <c r="L162" s="3">
        <v>35.4</v>
      </c>
      <c r="M162" s="3">
        <v>14.5</v>
      </c>
      <c r="N162" s="3" t="s">
        <v>251</v>
      </c>
      <c r="O162" s="3">
        <v>30</v>
      </c>
      <c r="P162" s="3">
        <v>4.4000000000000004</v>
      </c>
      <c r="Q162" s="3">
        <v>9.9</v>
      </c>
      <c r="R162" s="2" t="s">
        <v>37</v>
      </c>
      <c r="S162" s="3">
        <v>118</v>
      </c>
      <c r="T162" s="3">
        <v>2.15</v>
      </c>
      <c r="U162" s="3">
        <v>1.6</v>
      </c>
      <c r="V162" s="3">
        <f>118*30/1000</f>
        <v>3.54</v>
      </c>
      <c r="W162" s="3" t="s">
        <v>47</v>
      </c>
      <c r="X162" s="3">
        <v>200</v>
      </c>
      <c r="Y162" s="7">
        <v>41609</v>
      </c>
      <c r="Z162" s="3">
        <v>7.6</v>
      </c>
      <c r="AA162" s="3">
        <v>1.8</v>
      </c>
      <c r="AB162" s="3">
        <v>0.18</v>
      </c>
      <c r="AC162" s="3">
        <f>7.6*50/1000</f>
        <v>0.38</v>
      </c>
      <c r="AD162" s="3" t="s">
        <v>266</v>
      </c>
      <c r="AE162" s="3">
        <f>V162/AC162</f>
        <v>9.3157894736842106</v>
      </c>
      <c r="AF162" s="8">
        <v>41609</v>
      </c>
      <c r="AG162" s="3" t="s">
        <v>79</v>
      </c>
    </row>
    <row r="163" spans="1:46">
      <c r="A163" s="3">
        <v>105.1</v>
      </c>
      <c r="B163" s="3" t="s">
        <v>240</v>
      </c>
      <c r="C163" s="3" t="s">
        <v>267</v>
      </c>
      <c r="D163" s="3">
        <v>-18.851700000000001</v>
      </c>
      <c r="E163" s="3">
        <v>-159.80539999999999</v>
      </c>
      <c r="F163" s="1" t="s">
        <v>82</v>
      </c>
      <c r="G163" s="3" t="s">
        <v>259</v>
      </c>
      <c r="H163" s="10">
        <v>41394</v>
      </c>
      <c r="I163" s="9">
        <v>0.67361111111111116</v>
      </c>
      <c r="J163" s="3">
        <v>28</v>
      </c>
      <c r="K163" s="3">
        <v>27.7</v>
      </c>
      <c r="L163" s="3">
        <v>35.4</v>
      </c>
      <c r="M163" s="3">
        <v>12</v>
      </c>
      <c r="N163" s="3" t="s">
        <v>268</v>
      </c>
      <c r="O163" s="3">
        <v>5</v>
      </c>
      <c r="P163" s="3">
        <v>4.7</v>
      </c>
      <c r="Q163" s="3">
        <v>10.1</v>
      </c>
      <c r="R163" s="2" t="s">
        <v>37</v>
      </c>
      <c r="S163" s="3">
        <v>12</v>
      </c>
      <c r="T163" s="3">
        <v>1.67</v>
      </c>
      <c r="U163" s="3">
        <v>0.4</v>
      </c>
      <c r="V163" s="3">
        <f t="shared" si="2"/>
        <v>0.36</v>
      </c>
      <c r="W163" s="3" t="s">
        <v>64</v>
      </c>
      <c r="X163" s="3">
        <v>120</v>
      </c>
      <c r="Y163" s="7">
        <v>41518</v>
      </c>
      <c r="Z163" s="3">
        <v>39</v>
      </c>
      <c r="AA163" s="3">
        <v>1.78</v>
      </c>
      <c r="AB163" s="3">
        <v>11.1</v>
      </c>
      <c r="AC163" s="3">
        <f t="shared" si="3"/>
        <v>1.95</v>
      </c>
      <c r="AD163" s="3" t="s">
        <v>44</v>
      </c>
      <c r="AE163" s="3">
        <f>V163/AC163</f>
        <v>0.18461538461538463</v>
      </c>
      <c r="AF163" s="7">
        <v>41518</v>
      </c>
      <c r="AG163" s="3">
        <v>0.80700000000000005</v>
      </c>
      <c r="AH163" s="3">
        <v>0</v>
      </c>
      <c r="AK163" s="3" t="s">
        <v>42</v>
      </c>
      <c r="AL163" s="3" t="s">
        <v>269</v>
      </c>
    </row>
    <row r="164" spans="1:46">
      <c r="A164" s="3">
        <v>105.2</v>
      </c>
      <c r="B164" s="3" t="s">
        <v>240</v>
      </c>
      <c r="C164" s="3" t="s">
        <v>267</v>
      </c>
      <c r="D164" s="3">
        <v>-18.851700000000001</v>
      </c>
      <c r="E164" s="3">
        <v>-159.80539999999999</v>
      </c>
      <c r="F164" s="1" t="s">
        <v>82</v>
      </c>
      <c r="G164" s="3" t="s">
        <v>259</v>
      </c>
      <c r="H164" s="10">
        <v>41394</v>
      </c>
      <c r="I164" s="9">
        <v>0.67361111111111116</v>
      </c>
      <c r="J164" s="3">
        <v>28</v>
      </c>
      <c r="K164" s="3">
        <v>27.7</v>
      </c>
      <c r="L164" s="3">
        <v>35.4</v>
      </c>
      <c r="M164" s="3">
        <v>12</v>
      </c>
      <c r="N164" s="3" t="s">
        <v>268</v>
      </c>
      <c r="O164" s="3">
        <v>5</v>
      </c>
      <c r="P164" s="3">
        <v>4.7</v>
      </c>
      <c r="Q164" s="3">
        <v>10.1</v>
      </c>
      <c r="R164" s="2" t="s">
        <v>37</v>
      </c>
      <c r="Y164" s="7"/>
      <c r="AG164" s="18">
        <f>AVERAGE(AE165:AE166)</f>
        <v>0.34459459459459457</v>
      </c>
    </row>
    <row r="165" spans="1:46">
      <c r="A165" s="3">
        <v>106.1</v>
      </c>
      <c r="B165" s="3" t="s">
        <v>240</v>
      </c>
      <c r="C165" s="3" t="s">
        <v>270</v>
      </c>
      <c r="D165" s="3">
        <v>-18.9283</v>
      </c>
      <c r="E165" s="3">
        <v>-159.79429999999999</v>
      </c>
      <c r="F165" s="1" t="s">
        <v>128</v>
      </c>
      <c r="G165" s="3" t="s">
        <v>271</v>
      </c>
      <c r="H165" s="10">
        <v>41395</v>
      </c>
      <c r="I165" s="9">
        <v>0.39583333333333331</v>
      </c>
      <c r="J165" s="3">
        <v>28</v>
      </c>
      <c r="K165" s="3">
        <v>28.2</v>
      </c>
      <c r="L165" s="3">
        <v>35.5</v>
      </c>
      <c r="M165" s="3">
        <v>11</v>
      </c>
      <c r="N165" s="3" t="s">
        <v>272</v>
      </c>
      <c r="O165" s="3">
        <v>40</v>
      </c>
      <c r="P165" s="3">
        <v>16.899999999999999</v>
      </c>
      <c r="Q165" s="3">
        <v>142</v>
      </c>
      <c r="R165" s="2" t="s">
        <v>37</v>
      </c>
      <c r="S165" s="3">
        <v>16.5</v>
      </c>
      <c r="T165" s="3">
        <v>1.79</v>
      </c>
      <c r="U165" s="3">
        <v>0.65</v>
      </c>
      <c r="V165" s="3">
        <f t="shared" si="2"/>
        <v>0.495</v>
      </c>
      <c r="W165" s="3" t="s">
        <v>64</v>
      </c>
      <c r="X165" s="3">
        <v>165</v>
      </c>
      <c r="Y165" s="7">
        <v>41518</v>
      </c>
      <c r="Z165" s="3">
        <v>111</v>
      </c>
      <c r="AA165" s="3">
        <v>1.77</v>
      </c>
      <c r="AB165" s="3">
        <v>2.2799999999999998</v>
      </c>
      <c r="AC165" s="3">
        <f t="shared" si="3"/>
        <v>5.55</v>
      </c>
      <c r="AD165" s="3" t="s">
        <v>44</v>
      </c>
      <c r="AE165" s="3">
        <f>V165/AC165</f>
        <v>8.9189189189189194E-2</v>
      </c>
      <c r="AF165" s="7">
        <v>41518</v>
      </c>
      <c r="AG165" s="3">
        <v>0.79100000000000004</v>
      </c>
      <c r="AH165" s="3">
        <f>(0.791-0.8069)/-0.0071</f>
        <v>2.2394366197182975</v>
      </c>
      <c r="AI165" s="3">
        <f>AH165/20*1000</f>
        <v>111.97183098591488</v>
      </c>
      <c r="AJ165" s="3">
        <f>AI165*150*2/1000</f>
        <v>33.591549295774463</v>
      </c>
      <c r="AK165" s="3" t="s">
        <v>273</v>
      </c>
      <c r="AL165" s="3" t="s">
        <v>274</v>
      </c>
    </row>
    <row r="166" spans="1:46">
      <c r="A166" s="3">
        <v>106.2</v>
      </c>
      <c r="B166" s="3" t="s">
        <v>240</v>
      </c>
      <c r="C166" s="3" t="s">
        <v>270</v>
      </c>
      <c r="D166" s="3">
        <v>-18.9283</v>
      </c>
      <c r="E166" s="3">
        <v>-159.79429999999999</v>
      </c>
      <c r="F166" s="1" t="s">
        <v>128</v>
      </c>
      <c r="G166" s="3" t="s">
        <v>271</v>
      </c>
      <c r="H166" s="10">
        <v>41395</v>
      </c>
      <c r="I166" s="9">
        <v>0.39583333333333331</v>
      </c>
      <c r="J166" s="3">
        <v>28</v>
      </c>
      <c r="K166" s="3">
        <v>28.2</v>
      </c>
      <c r="L166" s="3">
        <v>35.5</v>
      </c>
      <c r="M166" s="3">
        <v>11</v>
      </c>
      <c r="N166" s="3" t="s">
        <v>272</v>
      </c>
      <c r="O166" s="3">
        <v>40</v>
      </c>
      <c r="P166" s="3">
        <v>16.899999999999999</v>
      </c>
      <c r="Q166" s="3">
        <v>142</v>
      </c>
      <c r="R166" s="2" t="s">
        <v>37</v>
      </c>
      <c r="S166" s="3">
        <v>27.6</v>
      </c>
      <c r="T166" s="3">
        <v>2.2000000000000002</v>
      </c>
      <c r="U166" s="3">
        <v>1.32</v>
      </c>
      <c r="V166" s="3">
        <f>27.6*30/1000</f>
        <v>0.82799999999999996</v>
      </c>
      <c r="W166" s="3" t="s">
        <v>47</v>
      </c>
      <c r="X166" s="3">
        <v>200</v>
      </c>
      <c r="Y166" s="7">
        <v>41609</v>
      </c>
      <c r="Z166" s="3">
        <v>46</v>
      </c>
      <c r="AA166" s="3">
        <v>2.0299999999999998</v>
      </c>
      <c r="AB166" s="3">
        <v>1.4</v>
      </c>
      <c r="AC166" s="3">
        <f>46*30/1000</f>
        <v>1.38</v>
      </c>
      <c r="AD166" s="3" t="s">
        <v>44</v>
      </c>
      <c r="AE166" s="3">
        <f>V166/AC166</f>
        <v>0.6</v>
      </c>
      <c r="AF166" s="7">
        <v>41609</v>
      </c>
      <c r="AG166" s="3" t="s">
        <v>79</v>
      </c>
    </row>
    <row r="167" spans="1:46">
      <c r="A167" s="3">
        <v>107.1</v>
      </c>
      <c r="B167" s="3" t="s">
        <v>240</v>
      </c>
      <c r="C167" s="3" t="s">
        <v>270</v>
      </c>
      <c r="D167" s="3">
        <v>-18.9283</v>
      </c>
      <c r="E167" s="3">
        <v>-159.79429999999999</v>
      </c>
      <c r="F167" s="1" t="s">
        <v>82</v>
      </c>
      <c r="H167" s="10">
        <v>41395</v>
      </c>
      <c r="I167" s="9">
        <v>0.40625</v>
      </c>
      <c r="J167" s="3">
        <v>28</v>
      </c>
      <c r="K167" s="3">
        <v>28.2</v>
      </c>
      <c r="L167" s="3">
        <v>35.5</v>
      </c>
      <c r="M167" s="3">
        <v>8</v>
      </c>
      <c r="N167" s="3" t="s">
        <v>272</v>
      </c>
      <c r="O167" s="3">
        <v>40</v>
      </c>
      <c r="P167" s="3">
        <v>3.8</v>
      </c>
      <c r="Q167" s="3">
        <v>7.1</v>
      </c>
      <c r="R167" s="2" t="s">
        <v>37</v>
      </c>
      <c r="S167" s="3">
        <v>11</v>
      </c>
      <c r="T167" s="3">
        <v>1.71</v>
      </c>
      <c r="U167" s="3">
        <v>0.25</v>
      </c>
      <c r="V167" s="3">
        <f t="shared" si="2"/>
        <v>0.33</v>
      </c>
      <c r="W167" s="3" t="s">
        <v>64</v>
      </c>
      <c r="X167" s="3">
        <v>110</v>
      </c>
      <c r="Y167" s="7">
        <v>41518</v>
      </c>
      <c r="Z167" s="3">
        <v>56</v>
      </c>
      <c r="AA167" s="3">
        <v>1.8</v>
      </c>
      <c r="AB167" s="3">
        <v>1.22</v>
      </c>
      <c r="AC167" s="3">
        <f t="shared" si="3"/>
        <v>2.8</v>
      </c>
      <c r="AD167" s="3" t="s">
        <v>44</v>
      </c>
      <c r="AE167" s="3">
        <f>V167/AC167</f>
        <v>0.11785714285714287</v>
      </c>
      <c r="AF167" s="7">
        <v>41518</v>
      </c>
      <c r="AG167" s="3">
        <v>0.753</v>
      </c>
      <c r="AH167" s="3">
        <f>(0.753-0.8069)/-0.0071</f>
        <v>7.59154929577464</v>
      </c>
      <c r="AI167" s="3">
        <f>AH167/20*1000</f>
        <v>379.57746478873202</v>
      </c>
      <c r="AJ167" s="3">
        <f>AI167*150*2/1000</f>
        <v>113.87323943661961</v>
      </c>
      <c r="AK167" s="3">
        <f>20000/AI167</f>
        <v>52.690166975881311</v>
      </c>
      <c r="AL167" s="3" t="s">
        <v>275</v>
      </c>
    </row>
    <row r="168" spans="1:46">
      <c r="A168" s="3">
        <v>107.2</v>
      </c>
      <c r="B168" s="3" t="s">
        <v>240</v>
      </c>
      <c r="C168" s="3" t="s">
        <v>270</v>
      </c>
      <c r="D168" s="3">
        <v>-18.9283</v>
      </c>
      <c r="E168" s="3">
        <v>-159.79429999999999</v>
      </c>
      <c r="F168" s="1" t="s">
        <v>82</v>
      </c>
      <c r="H168" s="10">
        <v>41395</v>
      </c>
      <c r="I168" s="9">
        <v>0.40625</v>
      </c>
      <c r="J168" s="3">
        <v>28</v>
      </c>
      <c r="K168" s="3">
        <v>28.2</v>
      </c>
      <c r="L168" s="3">
        <v>35.5</v>
      </c>
      <c r="M168" s="3">
        <v>8</v>
      </c>
      <c r="N168" s="3" t="s">
        <v>272</v>
      </c>
      <c r="O168" s="3">
        <v>40</v>
      </c>
      <c r="P168" s="3">
        <v>3.8</v>
      </c>
      <c r="Q168" s="3">
        <v>7.1</v>
      </c>
      <c r="R168" s="2" t="s">
        <v>37</v>
      </c>
      <c r="S168" s="3">
        <v>57.2</v>
      </c>
      <c r="T168" s="3">
        <v>2.11</v>
      </c>
      <c r="U168" s="3">
        <v>1.58</v>
      </c>
      <c r="V168" s="3">
        <f>57.2*30/1000</f>
        <v>1.716</v>
      </c>
      <c r="W168" s="3" t="s">
        <v>47</v>
      </c>
      <c r="X168" s="3">
        <v>200</v>
      </c>
      <c r="Y168" s="7">
        <v>41609</v>
      </c>
      <c r="Z168" s="3">
        <v>84</v>
      </c>
      <c r="AA168" s="3">
        <v>2.0099999999999998</v>
      </c>
      <c r="AB168" s="3">
        <v>0.4</v>
      </c>
      <c r="AC168" s="3">
        <f>84*50/1000</f>
        <v>4.2</v>
      </c>
      <c r="AD168" s="3" t="s">
        <v>44</v>
      </c>
      <c r="AE168" s="3">
        <f>V168/AC168</f>
        <v>0.40857142857142853</v>
      </c>
      <c r="AF168" s="7">
        <v>41609</v>
      </c>
      <c r="AG168" s="3" t="s">
        <v>79</v>
      </c>
    </row>
    <row r="169" spans="1:46">
      <c r="B169" s="3" t="s">
        <v>240</v>
      </c>
      <c r="C169" s="3" t="s">
        <v>276</v>
      </c>
      <c r="D169" s="3">
        <v>-18.951899999999998</v>
      </c>
      <c r="E169" s="3">
        <v>-159.74449999999999</v>
      </c>
      <c r="F169" s="2" t="s">
        <v>277</v>
      </c>
      <c r="H169" s="10">
        <v>41395</v>
      </c>
      <c r="I169" s="9"/>
      <c r="K169" s="3">
        <v>28.2</v>
      </c>
      <c r="L169" s="3">
        <v>35.5</v>
      </c>
      <c r="R169" s="2"/>
      <c r="AE169" s="3">
        <f>AVERAGE(AE167:AE168)</f>
        <v>0.26321428571428568</v>
      </c>
    </row>
    <row r="170" spans="1:46">
      <c r="A170" s="3">
        <v>108.2</v>
      </c>
      <c r="B170" s="19" t="s">
        <v>240</v>
      </c>
      <c r="C170" s="19" t="s">
        <v>278</v>
      </c>
      <c r="D170" s="19">
        <v>-18.927099999999999</v>
      </c>
      <c r="E170" s="19">
        <v>-159.72499999999999</v>
      </c>
      <c r="F170" s="16" t="s">
        <v>159</v>
      </c>
      <c r="H170" s="20">
        <v>41395</v>
      </c>
      <c r="I170" s="21">
        <v>0.64374999999999993</v>
      </c>
      <c r="J170" s="19">
        <v>28</v>
      </c>
      <c r="K170" s="19">
        <v>28.3</v>
      </c>
      <c r="L170" s="19">
        <v>35.1</v>
      </c>
      <c r="M170" s="19">
        <v>13</v>
      </c>
      <c r="N170" s="19" t="s">
        <v>279</v>
      </c>
      <c r="O170" s="19">
        <v>25</v>
      </c>
      <c r="P170" s="19">
        <v>3.6</v>
      </c>
      <c r="Q170" s="19">
        <v>6.8</v>
      </c>
      <c r="R170" s="17" t="s">
        <v>37</v>
      </c>
    </row>
    <row r="171" spans="1:46">
      <c r="A171" s="19">
        <v>108.1</v>
      </c>
      <c r="B171" s="19" t="s">
        <v>240</v>
      </c>
      <c r="C171" s="19" t="s">
        <v>278</v>
      </c>
      <c r="D171" s="19">
        <v>-18.927099999999999</v>
      </c>
      <c r="E171" s="19">
        <v>-159.72499999999999</v>
      </c>
      <c r="F171" s="19" t="s">
        <v>70</v>
      </c>
      <c r="G171" s="19" t="s">
        <v>280</v>
      </c>
      <c r="H171" s="20">
        <v>41395</v>
      </c>
      <c r="I171" s="21">
        <v>0.64374999999999993</v>
      </c>
      <c r="J171" s="19">
        <v>28</v>
      </c>
      <c r="K171" s="19">
        <v>28.3</v>
      </c>
      <c r="L171" s="19">
        <v>35.1</v>
      </c>
      <c r="M171" s="19">
        <v>13</v>
      </c>
      <c r="N171" s="19" t="s">
        <v>279</v>
      </c>
      <c r="O171" s="19">
        <v>25</v>
      </c>
      <c r="P171" s="19">
        <v>3.6</v>
      </c>
      <c r="Q171" s="19">
        <v>6.8</v>
      </c>
      <c r="R171" s="17" t="s">
        <v>37</v>
      </c>
      <c r="S171" s="19" t="s">
        <v>38</v>
      </c>
      <c r="T171" s="19" t="s">
        <v>281</v>
      </c>
      <c r="U171" s="19"/>
      <c r="V171" s="19"/>
      <c r="W171" s="19"/>
      <c r="X171" s="19"/>
      <c r="Y171" s="19"/>
      <c r="Z171" s="19" t="s">
        <v>38</v>
      </c>
      <c r="AA171" s="19"/>
      <c r="AB171" s="19"/>
      <c r="AC171" s="19"/>
      <c r="AD171" s="19" t="s">
        <v>64</v>
      </c>
      <c r="AF171" s="19"/>
      <c r="AG171" s="19">
        <v>0.82299999999999995</v>
      </c>
      <c r="AH171" s="19">
        <f>(AG171-0.854)/-0.0077</f>
        <v>4.0259740259740298</v>
      </c>
      <c r="AI171" s="19">
        <f>AH171/20*1000</f>
        <v>201.29870129870147</v>
      </c>
      <c r="AJ171" s="19">
        <f>AI171*100*2/1000</f>
        <v>40.259740259740298</v>
      </c>
      <c r="AK171" s="19">
        <f>20000/AI171</f>
        <v>99.354838709677338</v>
      </c>
      <c r="AL171" s="19" t="s">
        <v>282</v>
      </c>
      <c r="AM171" s="19"/>
      <c r="AN171" s="19"/>
      <c r="AO171" s="19"/>
      <c r="AP171" s="19"/>
      <c r="AQ171" s="19" t="s">
        <v>283</v>
      </c>
      <c r="AR171" s="19"/>
      <c r="AS171" s="19"/>
      <c r="AT171" s="19"/>
    </row>
    <row r="172" spans="1:46">
      <c r="A172" s="3">
        <v>109.1</v>
      </c>
      <c r="B172" s="3" t="s">
        <v>284</v>
      </c>
      <c r="C172" s="3" t="s">
        <v>285</v>
      </c>
      <c r="D172" s="3">
        <v>-17.992599999999999</v>
      </c>
      <c r="E172" s="3">
        <v>-163.15350000000001</v>
      </c>
      <c r="F172" s="1" t="s">
        <v>82</v>
      </c>
      <c r="G172" s="3" t="s">
        <v>286</v>
      </c>
      <c r="H172" s="10">
        <v>41397</v>
      </c>
      <c r="I172" s="9">
        <v>0.41666666666666669</v>
      </c>
      <c r="J172" s="3">
        <v>28</v>
      </c>
      <c r="K172" s="3">
        <v>27.9</v>
      </c>
      <c r="L172" s="3">
        <v>35.5</v>
      </c>
      <c r="M172" s="3">
        <v>8</v>
      </c>
      <c r="N172" s="3" t="s">
        <v>127</v>
      </c>
      <c r="O172" s="3">
        <v>20</v>
      </c>
      <c r="P172" s="3">
        <v>5.2</v>
      </c>
      <c r="Q172" s="3">
        <v>16.8</v>
      </c>
      <c r="R172" s="2" t="s">
        <v>37</v>
      </c>
      <c r="S172" s="3" t="s">
        <v>38</v>
      </c>
      <c r="T172" s="3" t="s">
        <v>287</v>
      </c>
      <c r="Z172" s="3">
        <v>14.5</v>
      </c>
      <c r="AA172" s="3">
        <v>2.39</v>
      </c>
      <c r="AB172" s="3">
        <v>0.54</v>
      </c>
      <c r="AC172" s="3">
        <f>14.5*50/1000</f>
        <v>0.72499999999999998</v>
      </c>
      <c r="AD172" s="3" t="s">
        <v>64</v>
      </c>
      <c r="AG172" s="3">
        <v>0.79700000000000004</v>
      </c>
      <c r="AH172" s="3">
        <f t="shared" ref="AH172:AH179" si="4">(AG172-0.854)/-0.0077</f>
        <v>7.4025974025973946</v>
      </c>
      <c r="AI172" s="3">
        <f t="shared" ref="AI172:AI190" si="5">AH172/20*1000</f>
        <v>370.12987012986974</v>
      </c>
      <c r="AJ172" s="3">
        <f t="shared" ref="AJ172:AJ192" si="6">AI172*100*2/1000</f>
        <v>74.025974025973952</v>
      </c>
      <c r="AK172" s="3">
        <f t="shared" ref="AK172:AK188" si="7">20000/AI172</f>
        <v>54.035087719298303</v>
      </c>
      <c r="AL172" s="3" t="s">
        <v>288</v>
      </c>
    </row>
    <row r="173" spans="1:46">
      <c r="A173" s="3">
        <v>109.2</v>
      </c>
      <c r="B173" s="3" t="s">
        <v>284</v>
      </c>
      <c r="C173" s="3" t="s">
        <v>285</v>
      </c>
      <c r="D173" s="3">
        <v>-17.992599999999999</v>
      </c>
      <c r="E173" s="3">
        <v>-163.15350000000001</v>
      </c>
      <c r="F173" s="1" t="s">
        <v>82</v>
      </c>
      <c r="G173" s="3" t="s">
        <v>286</v>
      </c>
      <c r="H173" s="10">
        <v>41397</v>
      </c>
      <c r="I173" s="9">
        <v>0.41666666666666669</v>
      </c>
      <c r="J173" s="3">
        <v>28</v>
      </c>
      <c r="K173" s="3">
        <v>27.9</v>
      </c>
      <c r="L173" s="3">
        <v>35.5</v>
      </c>
      <c r="M173" s="3">
        <v>8</v>
      </c>
      <c r="N173" s="3" t="s">
        <v>127</v>
      </c>
      <c r="O173" s="3">
        <v>20</v>
      </c>
      <c r="P173" s="3">
        <v>5.2</v>
      </c>
      <c r="Q173" s="3">
        <v>16.8</v>
      </c>
      <c r="R173" s="2" t="s">
        <v>37</v>
      </c>
      <c r="S173" s="3">
        <v>112</v>
      </c>
      <c r="T173" s="3">
        <v>2.15</v>
      </c>
      <c r="U173" s="3">
        <v>1.1599999999999999</v>
      </c>
      <c r="V173" s="3">
        <f>30*112/1000</f>
        <v>3.36</v>
      </c>
      <c r="W173" s="3" t="s">
        <v>47</v>
      </c>
      <c r="X173" s="3">
        <v>200</v>
      </c>
      <c r="Y173" s="7">
        <v>41609</v>
      </c>
      <c r="Z173" s="3">
        <v>61.7</v>
      </c>
      <c r="AA173" s="3">
        <v>1.7</v>
      </c>
      <c r="AB173" s="3">
        <v>1.17</v>
      </c>
      <c r="AC173" s="3">
        <f>61.7*50/1000</f>
        <v>3.085</v>
      </c>
      <c r="AD173" s="3" t="s">
        <v>44</v>
      </c>
      <c r="AE173" s="3">
        <f>V173/AC173</f>
        <v>1.0891410048622365</v>
      </c>
      <c r="AF173" s="7">
        <v>41609</v>
      </c>
      <c r="AG173" s="3" t="s">
        <v>79</v>
      </c>
    </row>
    <row r="174" spans="1:46">
      <c r="A174" s="3">
        <v>110.1</v>
      </c>
      <c r="B174" s="3" t="s">
        <v>284</v>
      </c>
      <c r="C174" s="3" t="s">
        <v>285</v>
      </c>
      <c r="D174" s="3">
        <v>-17.992599999999999</v>
      </c>
      <c r="E174" s="3">
        <v>-163.15350000000001</v>
      </c>
      <c r="F174" s="1" t="s">
        <v>82</v>
      </c>
      <c r="G174" s="3" t="s">
        <v>218</v>
      </c>
      <c r="H174" s="10">
        <v>41397</v>
      </c>
      <c r="I174" s="9">
        <v>0.43055555555555558</v>
      </c>
      <c r="J174" s="3">
        <v>28</v>
      </c>
      <c r="K174" s="3">
        <v>27.9</v>
      </c>
      <c r="L174" s="3">
        <v>35.5</v>
      </c>
      <c r="M174" s="3">
        <v>6.5</v>
      </c>
      <c r="N174" s="3" t="s">
        <v>127</v>
      </c>
      <c r="O174" s="3">
        <v>10</v>
      </c>
      <c r="P174" s="3">
        <v>6.7</v>
      </c>
      <c r="Q174" s="3">
        <v>29</v>
      </c>
      <c r="R174" s="2" t="s">
        <v>37</v>
      </c>
      <c r="S174" s="3" t="s">
        <v>38</v>
      </c>
      <c r="T174" s="3" t="s">
        <v>287</v>
      </c>
      <c r="Z174" s="3" t="s">
        <v>38</v>
      </c>
      <c r="AD174" s="3" t="s">
        <v>64</v>
      </c>
      <c r="AG174" s="3">
        <v>0.71799999999999997</v>
      </c>
      <c r="AH174" s="3">
        <f t="shared" si="4"/>
        <v>17.662337662337663</v>
      </c>
      <c r="AI174" s="39">
        <f t="shared" si="5"/>
        <v>883.11688311688317</v>
      </c>
      <c r="AJ174" s="3">
        <f t="shared" si="6"/>
        <v>176.62337662337663</v>
      </c>
      <c r="AK174" s="39">
        <f t="shared" si="7"/>
        <v>22.647058823529409</v>
      </c>
      <c r="AL174" s="3" t="s">
        <v>180</v>
      </c>
      <c r="AP174" s="3" t="s">
        <v>289</v>
      </c>
    </row>
    <row r="175" spans="1:46">
      <c r="A175" s="3">
        <v>110.2</v>
      </c>
      <c r="B175" s="3" t="s">
        <v>284</v>
      </c>
      <c r="C175" s="3" t="s">
        <v>285</v>
      </c>
      <c r="D175" s="3">
        <v>-17.992599999999999</v>
      </c>
      <c r="E175" s="3">
        <v>-163.15350000000001</v>
      </c>
      <c r="F175" s="1" t="s">
        <v>82</v>
      </c>
      <c r="G175" s="3" t="s">
        <v>218</v>
      </c>
      <c r="H175" s="10">
        <v>41397</v>
      </c>
      <c r="I175" s="9">
        <v>0.43055555555555558</v>
      </c>
      <c r="J175" s="3">
        <v>28</v>
      </c>
      <c r="K175" s="3">
        <v>27.9</v>
      </c>
      <c r="L175" s="3">
        <v>35.5</v>
      </c>
      <c r="M175" s="3">
        <v>6.5</v>
      </c>
      <c r="N175" s="3" t="s">
        <v>127</v>
      </c>
      <c r="O175" s="3">
        <v>10</v>
      </c>
      <c r="P175" s="3">
        <v>6.7</v>
      </c>
      <c r="Q175" s="3">
        <v>29</v>
      </c>
      <c r="R175" s="2" t="s">
        <v>37</v>
      </c>
      <c r="S175" s="3">
        <v>135.69999999999999</v>
      </c>
      <c r="T175" s="3">
        <v>2.21</v>
      </c>
      <c r="U175" s="3">
        <v>1.62</v>
      </c>
      <c r="V175" s="3">
        <f>135.7*30/1000</f>
        <v>4.0709999999999997</v>
      </c>
      <c r="W175" s="3" t="s">
        <v>47</v>
      </c>
      <c r="X175" s="3">
        <v>200</v>
      </c>
      <c r="Y175" s="7">
        <v>41609</v>
      </c>
      <c r="Z175" s="3">
        <v>91.9</v>
      </c>
      <c r="AA175" s="3">
        <v>1.98</v>
      </c>
      <c r="AB175" s="3">
        <v>1.51</v>
      </c>
      <c r="AC175" s="3">
        <f>91.9*50/1000</f>
        <v>4.5949999999999998</v>
      </c>
      <c r="AD175" s="3" t="s">
        <v>44</v>
      </c>
      <c r="AE175" s="3">
        <f>V175/AC175</f>
        <v>0.88596300326441779</v>
      </c>
      <c r="AF175" s="7">
        <v>41609</v>
      </c>
      <c r="AG175" s="3" t="s">
        <v>79</v>
      </c>
      <c r="AI175" s="39"/>
      <c r="AK175" s="39"/>
    </row>
    <row r="176" spans="1:46">
      <c r="A176" s="3">
        <v>111.1</v>
      </c>
      <c r="B176" s="3" t="s">
        <v>284</v>
      </c>
      <c r="C176" s="3" t="s">
        <v>290</v>
      </c>
      <c r="D176" s="3">
        <v>-18.0291</v>
      </c>
      <c r="E176" s="3">
        <v>-163.11779999999999</v>
      </c>
      <c r="F176" s="1" t="s">
        <v>144</v>
      </c>
      <c r="G176" s="3" t="s">
        <v>291</v>
      </c>
      <c r="H176" s="10">
        <v>41397</v>
      </c>
      <c r="I176" s="9">
        <v>0.5</v>
      </c>
      <c r="J176" s="3">
        <v>28</v>
      </c>
      <c r="K176" s="3">
        <v>28</v>
      </c>
      <c r="L176" s="3">
        <v>35.5</v>
      </c>
      <c r="M176" s="3">
        <v>14</v>
      </c>
      <c r="N176" s="3" t="s">
        <v>127</v>
      </c>
      <c r="O176" s="3">
        <v>25</v>
      </c>
      <c r="P176" s="3">
        <v>3.9</v>
      </c>
      <c r="Q176" s="3">
        <v>6.6</v>
      </c>
      <c r="R176" s="2" t="s">
        <v>37</v>
      </c>
      <c r="S176" s="3" t="s">
        <v>38</v>
      </c>
      <c r="T176" s="3" t="s">
        <v>292</v>
      </c>
      <c r="Z176" s="3">
        <v>100</v>
      </c>
      <c r="AA176" s="3">
        <v>1.88</v>
      </c>
      <c r="AB176" s="3">
        <v>0.68</v>
      </c>
      <c r="AC176" s="3">
        <f>100*50/1000</f>
        <v>5</v>
      </c>
      <c r="AD176" s="3" t="s">
        <v>44</v>
      </c>
      <c r="AG176" s="3">
        <v>0.70599999999999996</v>
      </c>
      <c r="AH176" s="3">
        <f>(AG176-0.854)/-0.0077</f>
        <v>19.220779220779225</v>
      </c>
      <c r="AI176" s="39">
        <f>AH176/20*1000</f>
        <v>961.03896103896125</v>
      </c>
      <c r="AJ176" s="3">
        <f>AI176*100*2/1000</f>
        <v>192.20779220779227</v>
      </c>
      <c r="AK176" s="39">
        <f>20000/AI176</f>
        <v>20.810810810810807</v>
      </c>
      <c r="AL176" s="3" t="s">
        <v>293</v>
      </c>
      <c r="AP176" s="3" t="s">
        <v>289</v>
      </c>
    </row>
    <row r="177" spans="1:46">
      <c r="A177" s="3">
        <v>111.2</v>
      </c>
      <c r="B177" s="3" t="s">
        <v>91</v>
      </c>
      <c r="C177" s="3" t="s">
        <v>290</v>
      </c>
      <c r="D177" s="3">
        <v>-18.0291</v>
      </c>
      <c r="E177" s="3">
        <v>-163.11779999999999</v>
      </c>
      <c r="F177" s="1" t="s">
        <v>144</v>
      </c>
      <c r="G177" s="3" t="s">
        <v>291</v>
      </c>
      <c r="H177" s="10">
        <v>41397</v>
      </c>
      <c r="I177" s="9">
        <v>0.5</v>
      </c>
      <c r="J177" s="3">
        <v>28</v>
      </c>
      <c r="K177" s="3">
        <v>28</v>
      </c>
      <c r="L177" s="3">
        <v>35.5</v>
      </c>
      <c r="M177" s="3">
        <v>14</v>
      </c>
      <c r="N177" s="3" t="s">
        <v>127</v>
      </c>
      <c r="O177" s="3">
        <v>25</v>
      </c>
      <c r="P177" s="3">
        <v>3.9</v>
      </c>
      <c r="Q177" s="3">
        <v>6.6</v>
      </c>
      <c r="R177" s="2" t="s">
        <v>37</v>
      </c>
      <c r="Y177" s="8">
        <v>41609</v>
      </c>
      <c r="AF177" s="8">
        <v>41609</v>
      </c>
      <c r="AI177" s="39"/>
      <c r="AK177" s="39"/>
    </row>
    <row r="178" spans="1:46">
      <c r="A178" s="3">
        <v>112.1</v>
      </c>
      <c r="B178" s="3" t="s">
        <v>284</v>
      </c>
      <c r="C178" s="3" t="s">
        <v>294</v>
      </c>
      <c r="D178" s="3">
        <v>-18.0489</v>
      </c>
      <c r="E178" s="3">
        <v>-163.11279999999999</v>
      </c>
      <c r="F178" s="1" t="s">
        <v>82</v>
      </c>
      <c r="G178" s="3" t="s">
        <v>295</v>
      </c>
      <c r="H178" s="10">
        <v>41397</v>
      </c>
      <c r="I178" s="9">
        <v>0.65625</v>
      </c>
      <c r="J178" s="3">
        <v>28</v>
      </c>
      <c r="K178" s="3">
        <v>28.2</v>
      </c>
      <c r="L178" s="3">
        <v>35.5</v>
      </c>
      <c r="M178" s="3">
        <v>11</v>
      </c>
      <c r="N178" s="3" t="s">
        <v>127</v>
      </c>
      <c r="O178" s="3">
        <v>40</v>
      </c>
      <c r="P178" s="3">
        <v>8.6999999999999993</v>
      </c>
      <c r="Q178" s="3">
        <v>39.200000000000003</v>
      </c>
      <c r="R178" s="2" t="s">
        <v>37</v>
      </c>
      <c r="S178" s="3">
        <v>53</v>
      </c>
      <c r="T178" s="3">
        <v>2.1</v>
      </c>
      <c r="U178" s="3">
        <v>0.36</v>
      </c>
      <c r="V178" s="3">
        <f>53*30/1000</f>
        <v>1.59</v>
      </c>
      <c r="W178" s="3" t="s">
        <v>47</v>
      </c>
      <c r="X178" s="3">
        <v>200</v>
      </c>
      <c r="Y178" s="7">
        <v>41518</v>
      </c>
      <c r="Z178" s="3">
        <v>86</v>
      </c>
      <c r="AA178" s="3">
        <v>1.84</v>
      </c>
      <c r="AB178" s="3">
        <v>1.58</v>
      </c>
      <c r="AC178" s="3">
        <f>86*50/1000</f>
        <v>4.3</v>
      </c>
      <c r="AD178" s="3" t="s">
        <v>44</v>
      </c>
      <c r="AE178" s="3">
        <f>V178/AC178</f>
        <v>0.36976744186046517</v>
      </c>
      <c r="AF178" s="7">
        <v>41518</v>
      </c>
      <c r="AG178" s="3">
        <v>0.77500000000000002</v>
      </c>
      <c r="AH178" s="3">
        <f t="shared" si="4"/>
        <v>10.259740259740255</v>
      </c>
      <c r="AI178" s="3">
        <f t="shared" si="5"/>
        <v>512.9870129870128</v>
      </c>
      <c r="AJ178" s="3">
        <f t="shared" si="6"/>
        <v>102.59740259740256</v>
      </c>
      <c r="AK178" s="3">
        <f t="shared" si="7"/>
        <v>38.987341772151915</v>
      </c>
      <c r="AL178" s="3" t="s">
        <v>296</v>
      </c>
    </row>
    <row r="179" spans="1:46">
      <c r="A179" s="3">
        <v>113.1</v>
      </c>
      <c r="B179" s="3" t="s">
        <v>284</v>
      </c>
      <c r="C179" s="3" t="s">
        <v>294</v>
      </c>
      <c r="D179" s="3">
        <v>-18.0489</v>
      </c>
      <c r="E179" s="3">
        <v>-163.11279999999999</v>
      </c>
      <c r="F179" s="1" t="s">
        <v>128</v>
      </c>
      <c r="G179" s="3" t="s">
        <v>297</v>
      </c>
      <c r="H179" s="10">
        <v>41397</v>
      </c>
      <c r="I179" s="9">
        <v>0.66666666666666663</v>
      </c>
      <c r="J179" s="3">
        <v>28</v>
      </c>
      <c r="K179" s="3">
        <v>28.2</v>
      </c>
      <c r="L179" s="3">
        <v>35.5</v>
      </c>
      <c r="M179" s="3">
        <v>12</v>
      </c>
      <c r="N179" s="13" t="s">
        <v>127</v>
      </c>
      <c r="O179" s="3">
        <v>40</v>
      </c>
      <c r="Q179" s="3" t="s">
        <v>236</v>
      </c>
      <c r="R179" s="2" t="s">
        <v>37</v>
      </c>
      <c r="S179" s="19">
        <v>29.5</v>
      </c>
      <c r="T179" s="19">
        <v>2.35</v>
      </c>
      <c r="U179" s="19">
        <v>0.19</v>
      </c>
      <c r="V179" s="19">
        <f>29.5*30/1000</f>
        <v>0.88500000000000001</v>
      </c>
      <c r="W179" s="19" t="s">
        <v>47</v>
      </c>
      <c r="X179" s="19">
        <v>200</v>
      </c>
      <c r="Y179" s="7">
        <v>41518</v>
      </c>
      <c r="Z179" s="19">
        <v>139</v>
      </c>
      <c r="AA179" s="19">
        <v>1.8</v>
      </c>
      <c r="AB179" s="19">
        <v>1.73</v>
      </c>
      <c r="AC179" s="19">
        <f>139*50/1000</f>
        <v>6.95</v>
      </c>
      <c r="AD179" s="3" t="s">
        <v>44</v>
      </c>
      <c r="AE179" s="3">
        <f>V179/AC179</f>
        <v>0.12733812949640289</v>
      </c>
      <c r="AF179" s="7">
        <v>41518</v>
      </c>
      <c r="AG179" s="19">
        <v>0.75</v>
      </c>
      <c r="AH179" s="19">
        <f t="shared" si="4"/>
        <v>13.506493506493504</v>
      </c>
      <c r="AI179" s="40">
        <f t="shared" si="5"/>
        <v>675.32467532467524</v>
      </c>
      <c r="AJ179" s="19">
        <f t="shared" si="6"/>
        <v>135.06493506493504</v>
      </c>
      <c r="AK179" s="40">
        <f t="shared" si="7"/>
        <v>29.61538461538462</v>
      </c>
      <c r="AL179" s="22" t="s">
        <v>293</v>
      </c>
      <c r="AM179" s="19"/>
      <c r="AN179" s="19"/>
      <c r="AO179" s="19"/>
      <c r="AP179" s="19" t="s">
        <v>289</v>
      </c>
      <c r="AQ179" s="19"/>
      <c r="AR179" s="19"/>
      <c r="AS179" s="19"/>
      <c r="AT179" s="19"/>
    </row>
    <row r="180" spans="1:46">
      <c r="A180" s="3">
        <v>113.2</v>
      </c>
      <c r="B180" s="3" t="s">
        <v>284</v>
      </c>
      <c r="C180" s="3" t="s">
        <v>294</v>
      </c>
      <c r="D180" s="3">
        <v>-18.0489</v>
      </c>
      <c r="E180" s="3">
        <v>-163.11279999999999</v>
      </c>
      <c r="F180" s="1" t="s">
        <v>128</v>
      </c>
      <c r="G180" s="3" t="s">
        <v>297</v>
      </c>
      <c r="H180" s="10">
        <v>41397</v>
      </c>
      <c r="I180" s="9">
        <v>0.66666666666666663</v>
      </c>
      <c r="J180" s="3">
        <v>28</v>
      </c>
      <c r="K180" s="3">
        <v>28.2</v>
      </c>
      <c r="L180" s="3">
        <v>35.5</v>
      </c>
      <c r="M180" s="3">
        <v>12</v>
      </c>
      <c r="N180" s="13" t="s">
        <v>127</v>
      </c>
      <c r="O180" s="3">
        <v>40</v>
      </c>
      <c r="Q180" s="3" t="s">
        <v>236</v>
      </c>
      <c r="R180" s="2" t="s">
        <v>37</v>
      </c>
      <c r="S180" s="11">
        <v>17.2</v>
      </c>
      <c r="T180" s="11">
        <v>2.0299999999999998</v>
      </c>
      <c r="U180" s="11">
        <v>0.97</v>
      </c>
      <c r="V180" s="11">
        <f>17.2*30/1000</f>
        <v>0.51600000000000001</v>
      </c>
      <c r="W180" s="11" t="s">
        <v>64</v>
      </c>
      <c r="X180" s="11">
        <v>172</v>
      </c>
      <c r="Y180" s="7">
        <v>41609</v>
      </c>
      <c r="Z180" s="11">
        <v>94</v>
      </c>
      <c r="AA180" s="11">
        <v>2.02</v>
      </c>
      <c r="AB180" s="11">
        <v>0.45</v>
      </c>
      <c r="AC180" s="11">
        <f>94*50/1000</f>
        <v>4.7</v>
      </c>
      <c r="AD180" s="3" t="s">
        <v>44</v>
      </c>
      <c r="AE180" s="3">
        <f>V180/AC180</f>
        <v>0.10978723404255319</v>
      </c>
      <c r="AF180" s="7">
        <v>41609</v>
      </c>
      <c r="AG180" s="11" t="s">
        <v>79</v>
      </c>
      <c r="AH180" s="11"/>
      <c r="AI180" s="23"/>
      <c r="AJ180" s="11"/>
      <c r="AK180" s="23"/>
      <c r="AL180" s="36"/>
      <c r="AM180" s="11"/>
      <c r="AN180" s="11"/>
      <c r="AO180" s="11"/>
      <c r="AP180" s="11"/>
      <c r="AQ180" s="11"/>
      <c r="AR180" s="11"/>
      <c r="AS180" s="11"/>
      <c r="AT180" s="11"/>
    </row>
    <row r="181" spans="1:46">
      <c r="A181" s="3">
        <v>114.1</v>
      </c>
      <c r="B181" s="3" t="s">
        <v>284</v>
      </c>
      <c r="C181" s="3" t="s">
        <v>298</v>
      </c>
      <c r="D181" s="3">
        <v>-18.0885</v>
      </c>
      <c r="E181" s="3">
        <v>-163.15209999999999</v>
      </c>
      <c r="F181" s="1" t="s">
        <v>144</v>
      </c>
      <c r="G181" s="3" t="s">
        <v>299</v>
      </c>
      <c r="H181" s="10">
        <v>41398</v>
      </c>
      <c r="I181" s="9">
        <v>0.39097222222222222</v>
      </c>
      <c r="J181" s="3">
        <v>28</v>
      </c>
      <c r="K181" s="3">
        <v>28</v>
      </c>
      <c r="L181" s="3">
        <v>35.5</v>
      </c>
      <c r="M181" s="3">
        <v>12</v>
      </c>
      <c r="N181" s="13" t="s">
        <v>127</v>
      </c>
      <c r="O181" s="3">
        <v>40</v>
      </c>
      <c r="P181" s="3">
        <v>10.7</v>
      </c>
      <c r="Q181" s="3">
        <v>50.2</v>
      </c>
      <c r="R181" s="2" t="s">
        <v>37</v>
      </c>
      <c r="S181" s="11">
        <v>39</v>
      </c>
      <c r="T181" s="11">
        <v>1.82</v>
      </c>
      <c r="U181" s="11">
        <v>0.42</v>
      </c>
      <c r="V181" s="3">
        <f>S181*30/1000</f>
        <v>1.17</v>
      </c>
      <c r="W181" s="3" t="s">
        <v>64</v>
      </c>
      <c r="X181" s="3" t="s">
        <v>42</v>
      </c>
      <c r="Y181" s="7">
        <v>41518</v>
      </c>
      <c r="Z181" s="11">
        <v>58.5</v>
      </c>
      <c r="AA181" s="11">
        <v>1.89</v>
      </c>
      <c r="AB181" s="3">
        <v>1.45</v>
      </c>
      <c r="AC181" s="3">
        <f>Z181*50/1000</f>
        <v>2.9249999999999998</v>
      </c>
      <c r="AD181" s="3" t="s">
        <v>44</v>
      </c>
      <c r="AE181" s="3">
        <f>V181/AC181</f>
        <v>0.4</v>
      </c>
      <c r="AF181" s="7">
        <v>41518</v>
      </c>
      <c r="AG181" s="11">
        <v>0.45100000000000001</v>
      </c>
      <c r="AH181" s="11">
        <f>(AG181-0.859)/-0.0088</f>
        <v>46.36363636363636</v>
      </c>
      <c r="AI181" s="23">
        <f>AH181/20*1000</f>
        <v>2318.181818181818</v>
      </c>
      <c r="AJ181" s="11">
        <f>AI181*100*2/1000</f>
        <v>463.63636363636357</v>
      </c>
      <c r="AK181" s="23">
        <f t="shared" si="7"/>
        <v>8.6274509803921582</v>
      </c>
      <c r="AL181" s="3" t="s">
        <v>300</v>
      </c>
      <c r="AO181" s="3" t="s">
        <v>301</v>
      </c>
      <c r="AQ181" s="3" t="s">
        <v>302</v>
      </c>
    </row>
    <row r="182" spans="1:46">
      <c r="A182" s="3">
        <v>114.2</v>
      </c>
      <c r="B182" s="3" t="s">
        <v>284</v>
      </c>
      <c r="C182" s="3" t="s">
        <v>298</v>
      </c>
      <c r="D182" s="3">
        <v>-18.0885</v>
      </c>
      <c r="E182" s="3">
        <v>-163.15209999999999</v>
      </c>
      <c r="F182" s="1" t="s">
        <v>144</v>
      </c>
      <c r="G182" s="3" t="s">
        <v>299</v>
      </c>
      <c r="H182" s="10">
        <v>41398</v>
      </c>
      <c r="I182" s="9">
        <v>0.39097222222222222</v>
      </c>
      <c r="J182" s="3">
        <v>28</v>
      </c>
      <c r="K182" s="3">
        <v>28</v>
      </c>
      <c r="L182" s="3">
        <v>35.5</v>
      </c>
      <c r="M182" s="3">
        <v>12</v>
      </c>
      <c r="N182" s="13" t="s">
        <v>127</v>
      </c>
      <c r="O182" s="3">
        <v>40</v>
      </c>
      <c r="P182" s="3">
        <v>10.7</v>
      </c>
      <c r="Q182" s="3">
        <v>50.2</v>
      </c>
      <c r="R182" s="2" t="s">
        <v>37</v>
      </c>
      <c r="S182" s="11" t="s">
        <v>38</v>
      </c>
      <c r="T182" s="11"/>
      <c r="U182" s="11"/>
      <c r="Y182" s="7">
        <v>41609</v>
      </c>
      <c r="Z182" s="11">
        <v>9.3000000000000007</v>
      </c>
      <c r="AA182" s="11">
        <v>2.0699999999999998</v>
      </c>
      <c r="AB182" s="3">
        <v>0.03</v>
      </c>
      <c r="AC182" s="3">
        <f>9.3*50/1000</f>
        <v>0.46500000000000008</v>
      </c>
      <c r="AD182" s="3" t="s">
        <v>64</v>
      </c>
      <c r="AF182" s="7">
        <v>41609</v>
      </c>
      <c r="AG182" s="11" t="s">
        <v>79</v>
      </c>
      <c r="AH182" s="11"/>
      <c r="AI182" s="23"/>
      <c r="AJ182" s="11"/>
      <c r="AK182" s="23"/>
    </row>
    <row r="183" spans="1:46">
      <c r="A183" s="3">
        <v>115.1</v>
      </c>
      <c r="B183" s="3" t="s">
        <v>284</v>
      </c>
      <c r="C183" s="3" t="s">
        <v>298</v>
      </c>
      <c r="D183" s="3">
        <v>-18.0885</v>
      </c>
      <c r="E183" s="3">
        <v>-163.15209999999999</v>
      </c>
      <c r="F183" s="1" t="s">
        <v>144</v>
      </c>
      <c r="G183" s="3" t="s">
        <v>303</v>
      </c>
      <c r="H183" s="10">
        <v>41398</v>
      </c>
      <c r="I183" s="9">
        <v>0.40138888888888885</v>
      </c>
      <c r="J183" s="3">
        <v>28</v>
      </c>
      <c r="K183" s="3">
        <v>28</v>
      </c>
      <c r="L183" s="3">
        <v>35.5</v>
      </c>
      <c r="M183" s="3">
        <v>10</v>
      </c>
      <c r="N183" s="3" t="s">
        <v>304</v>
      </c>
      <c r="O183" s="3">
        <v>40</v>
      </c>
      <c r="P183" s="3">
        <v>6</v>
      </c>
      <c r="Q183" s="3">
        <v>19.8</v>
      </c>
      <c r="R183" s="2" t="s">
        <v>37</v>
      </c>
      <c r="S183" s="11">
        <v>25</v>
      </c>
      <c r="T183" s="11">
        <v>1.57</v>
      </c>
      <c r="U183" s="11">
        <v>0.51</v>
      </c>
      <c r="V183" s="3">
        <f t="shared" ref="V183:V198" si="8">S183*30/1000</f>
        <v>0.75</v>
      </c>
      <c r="W183" s="3" t="s">
        <v>47</v>
      </c>
      <c r="X183" s="3" t="s">
        <v>42</v>
      </c>
      <c r="Y183" s="7">
        <v>41518</v>
      </c>
      <c r="Z183" s="11">
        <v>60</v>
      </c>
      <c r="AA183" s="11">
        <v>1.85</v>
      </c>
      <c r="AB183" s="3">
        <v>0.7</v>
      </c>
      <c r="AC183" s="3">
        <f t="shared" ref="AC183:AC198" si="9">Z183*50/1000</f>
        <v>3</v>
      </c>
      <c r="AD183" s="3" t="s">
        <v>44</v>
      </c>
      <c r="AE183" s="3">
        <f>V183/AC183</f>
        <v>0.25</v>
      </c>
      <c r="AF183" s="7">
        <v>41518</v>
      </c>
      <c r="AG183" s="11">
        <v>0.78</v>
      </c>
      <c r="AH183" s="11">
        <f t="shared" ref="AH183:AH188" si="10">(AG183-0.859)/-0.0088</f>
        <v>8.9772727272727213</v>
      </c>
      <c r="AI183" s="16">
        <f t="shared" si="5"/>
        <v>448.86363636363609</v>
      </c>
      <c r="AJ183" s="11">
        <f t="shared" si="6"/>
        <v>89.772727272727224</v>
      </c>
      <c r="AK183" s="16">
        <f t="shared" si="7"/>
        <v>44.55696202531648</v>
      </c>
      <c r="AL183" s="3" t="s">
        <v>305</v>
      </c>
      <c r="AO183" s="3" t="s">
        <v>301</v>
      </c>
      <c r="AQ183" s="3" t="s">
        <v>306</v>
      </c>
    </row>
    <row r="184" spans="1:46">
      <c r="A184" s="3">
        <v>115.2</v>
      </c>
      <c r="B184" s="3" t="s">
        <v>284</v>
      </c>
      <c r="C184" s="3" t="s">
        <v>298</v>
      </c>
      <c r="D184" s="3">
        <v>-18.0885</v>
      </c>
      <c r="E184" s="3">
        <v>-163.15209999999999</v>
      </c>
      <c r="F184" s="1" t="s">
        <v>144</v>
      </c>
      <c r="G184" s="3" t="s">
        <v>303</v>
      </c>
      <c r="H184" s="10">
        <v>41398</v>
      </c>
      <c r="I184" s="9">
        <v>0.40138888888888885</v>
      </c>
      <c r="J184" s="3">
        <v>28</v>
      </c>
      <c r="K184" s="3">
        <v>28</v>
      </c>
      <c r="L184" s="3">
        <v>35.5</v>
      </c>
      <c r="M184" s="3">
        <v>10</v>
      </c>
      <c r="N184" s="3" t="s">
        <v>304</v>
      </c>
      <c r="O184" s="3">
        <v>40</v>
      </c>
      <c r="P184" s="3">
        <v>6</v>
      </c>
      <c r="Q184" s="3">
        <v>19.8</v>
      </c>
      <c r="R184" s="2" t="s">
        <v>37</v>
      </c>
      <c r="S184" s="11">
        <v>19.3</v>
      </c>
      <c r="T184" s="11">
        <v>2.13</v>
      </c>
      <c r="U184" s="11">
        <v>1.9</v>
      </c>
      <c r="V184" s="3">
        <f>19.3*30/1000</f>
        <v>0.57899999999999996</v>
      </c>
      <c r="W184" s="3" t="s">
        <v>64</v>
      </c>
      <c r="X184" s="3">
        <v>193</v>
      </c>
      <c r="Y184" s="7">
        <v>41609</v>
      </c>
      <c r="Z184" s="11">
        <v>8.6</v>
      </c>
      <c r="AA184" s="11">
        <v>2.15</v>
      </c>
      <c r="AB184" s="3">
        <v>0.16</v>
      </c>
      <c r="AC184" s="3">
        <f>8.6*50/1000</f>
        <v>0.43</v>
      </c>
      <c r="AD184" s="3" t="s">
        <v>64</v>
      </c>
      <c r="AE184" s="3">
        <f>V184/AC184</f>
        <v>1.3465116279069766</v>
      </c>
      <c r="AF184" s="7">
        <v>41609</v>
      </c>
      <c r="AG184" s="11" t="s">
        <v>79</v>
      </c>
      <c r="AH184" s="11"/>
      <c r="AI184" s="16">
        <f>AVERAGE(AE183:AE184)</f>
        <v>0.79825581395348832</v>
      </c>
      <c r="AJ184" s="11"/>
      <c r="AK184" s="16"/>
    </row>
    <row r="185" spans="1:46">
      <c r="A185" s="3">
        <v>116.1</v>
      </c>
      <c r="B185" s="3" t="s">
        <v>284</v>
      </c>
      <c r="C185" s="3" t="s">
        <v>298</v>
      </c>
      <c r="D185" s="3">
        <v>-18.0885</v>
      </c>
      <c r="E185" s="3">
        <v>-163.15209999999999</v>
      </c>
      <c r="F185" s="2" t="s">
        <v>159</v>
      </c>
      <c r="G185" s="3" t="s">
        <v>307</v>
      </c>
      <c r="H185" s="10">
        <v>41398</v>
      </c>
      <c r="I185" s="9">
        <v>0.40625</v>
      </c>
      <c r="J185" s="3">
        <v>28</v>
      </c>
      <c r="K185" s="3">
        <v>28</v>
      </c>
      <c r="L185" s="3">
        <v>35.5</v>
      </c>
      <c r="M185" s="3">
        <v>10</v>
      </c>
      <c r="N185" s="3" t="s">
        <v>308</v>
      </c>
      <c r="O185" s="3">
        <v>45</v>
      </c>
      <c r="P185" s="3">
        <v>7.4</v>
      </c>
      <c r="Q185" s="3">
        <v>16.100000000000001</v>
      </c>
      <c r="R185" s="2" t="s">
        <v>37</v>
      </c>
      <c r="S185" s="11">
        <v>5</v>
      </c>
      <c r="T185" s="11">
        <v>1.62</v>
      </c>
      <c r="U185" s="11">
        <v>0.15</v>
      </c>
      <c r="V185" s="3">
        <f t="shared" si="8"/>
        <v>0.15</v>
      </c>
      <c r="W185" s="3" t="s">
        <v>64</v>
      </c>
      <c r="X185" s="3" t="s">
        <v>42</v>
      </c>
      <c r="Y185" s="7">
        <v>41518</v>
      </c>
      <c r="Z185" s="11">
        <v>20</v>
      </c>
      <c r="AA185" s="11">
        <v>1.85</v>
      </c>
      <c r="AB185" s="3">
        <v>0.47</v>
      </c>
      <c r="AC185" s="3">
        <f t="shared" si="9"/>
        <v>1</v>
      </c>
      <c r="AD185" s="3" t="s">
        <v>44</v>
      </c>
      <c r="AE185" s="3">
        <f>V185/AC185</f>
        <v>0.15</v>
      </c>
      <c r="AF185" s="7">
        <v>41518</v>
      </c>
      <c r="AG185" s="11">
        <v>0.81299999999999994</v>
      </c>
      <c r="AH185" s="11">
        <f t="shared" si="10"/>
        <v>5.227272727272732</v>
      </c>
      <c r="AI185" s="16">
        <f t="shared" si="5"/>
        <v>261.3636363636366</v>
      </c>
      <c r="AJ185" s="11">
        <f t="shared" si="6"/>
        <v>52.272727272727323</v>
      </c>
      <c r="AK185" s="16">
        <f t="shared" si="7"/>
        <v>76.52173913043471</v>
      </c>
      <c r="AL185" s="3" t="s">
        <v>309</v>
      </c>
      <c r="AO185" s="3" t="s">
        <v>301</v>
      </c>
      <c r="AQ185" s="3" t="s">
        <v>76</v>
      </c>
    </row>
    <row r="186" spans="1:46">
      <c r="A186" s="3">
        <v>116.2</v>
      </c>
      <c r="B186" s="3" t="s">
        <v>284</v>
      </c>
      <c r="C186" s="3" t="s">
        <v>298</v>
      </c>
      <c r="D186" s="3">
        <v>-18.0885</v>
      </c>
      <c r="E186" s="3">
        <v>-163.15209999999999</v>
      </c>
      <c r="F186" s="2" t="s">
        <v>310</v>
      </c>
      <c r="G186" s="3" t="s">
        <v>311</v>
      </c>
      <c r="H186" s="10">
        <v>41398</v>
      </c>
      <c r="I186" s="9">
        <v>0.40625</v>
      </c>
      <c r="J186" s="3">
        <v>28</v>
      </c>
      <c r="K186" s="3">
        <v>28</v>
      </c>
      <c r="L186" s="3">
        <v>35.5</v>
      </c>
      <c r="M186" s="3">
        <v>10</v>
      </c>
      <c r="N186" s="3" t="s">
        <v>308</v>
      </c>
      <c r="O186" s="3">
        <v>45</v>
      </c>
      <c r="P186" s="3">
        <v>7.4</v>
      </c>
      <c r="Q186" s="3">
        <v>16.100000000000001</v>
      </c>
      <c r="R186" s="2" t="s">
        <v>37</v>
      </c>
      <c r="S186" s="11" t="s">
        <v>38</v>
      </c>
      <c r="T186" s="11"/>
      <c r="U186" s="11"/>
      <c r="Y186" s="7">
        <v>41609</v>
      </c>
      <c r="Z186" s="11" t="s">
        <v>38</v>
      </c>
      <c r="AA186" s="11"/>
      <c r="AF186" s="7">
        <v>41609</v>
      </c>
      <c r="AG186" s="11" t="s">
        <v>79</v>
      </c>
      <c r="AH186" s="11"/>
      <c r="AI186" s="16"/>
      <c r="AJ186" s="11"/>
      <c r="AK186" s="16"/>
    </row>
    <row r="187" spans="1:46">
      <c r="A187" s="3">
        <v>117</v>
      </c>
      <c r="B187" s="3" t="s">
        <v>284</v>
      </c>
      <c r="C187" s="3" t="s">
        <v>312</v>
      </c>
      <c r="D187" s="3">
        <v>-18.069700000000001</v>
      </c>
      <c r="E187" s="3">
        <v>-163.1293</v>
      </c>
      <c r="F187" s="1" t="s">
        <v>128</v>
      </c>
      <c r="G187" s="3" t="s">
        <v>313</v>
      </c>
      <c r="H187" s="10">
        <v>41398</v>
      </c>
      <c r="I187" s="9">
        <v>0.47222222222222227</v>
      </c>
      <c r="J187" s="3">
        <v>28</v>
      </c>
      <c r="K187" s="3">
        <v>28</v>
      </c>
      <c r="L187" s="3">
        <v>35.5</v>
      </c>
      <c r="M187" s="3">
        <v>13.5</v>
      </c>
      <c r="N187" s="3" t="s">
        <v>127</v>
      </c>
      <c r="O187" s="3">
        <v>40</v>
      </c>
      <c r="P187" s="3">
        <v>16.600000000000001</v>
      </c>
      <c r="Q187" s="3">
        <v>134</v>
      </c>
      <c r="R187" s="2" t="s">
        <v>37</v>
      </c>
      <c r="S187" s="11">
        <v>81</v>
      </c>
      <c r="T187" s="11">
        <v>1.8</v>
      </c>
      <c r="U187" s="11">
        <v>0.45</v>
      </c>
      <c r="V187" s="3">
        <f t="shared" si="8"/>
        <v>2.4300000000000002</v>
      </c>
      <c r="W187" s="3" t="s">
        <v>64</v>
      </c>
      <c r="X187" s="3" t="s">
        <v>42</v>
      </c>
      <c r="Y187" s="7">
        <v>41518</v>
      </c>
      <c r="Z187" s="11">
        <v>101</v>
      </c>
      <c r="AA187" s="11">
        <v>1.82</v>
      </c>
      <c r="AB187" s="3">
        <v>2.48</v>
      </c>
      <c r="AC187" s="3">
        <f t="shared" si="9"/>
        <v>5.05</v>
      </c>
      <c r="AD187" s="3" t="s">
        <v>44</v>
      </c>
      <c r="AE187" s="3">
        <f>V187/AC187</f>
        <v>0.48118811881188123</v>
      </c>
      <c r="AF187" s="7">
        <v>41518</v>
      </c>
      <c r="AG187" s="11">
        <v>0.72699999999999998</v>
      </c>
      <c r="AH187" s="11">
        <f t="shared" si="10"/>
        <v>15</v>
      </c>
      <c r="AI187" s="23">
        <f t="shared" si="5"/>
        <v>750</v>
      </c>
      <c r="AJ187" s="11">
        <f t="shared" si="6"/>
        <v>150</v>
      </c>
      <c r="AK187" s="23">
        <f t="shared" si="7"/>
        <v>26.666666666666668</v>
      </c>
      <c r="AL187" s="3" t="s">
        <v>300</v>
      </c>
      <c r="AO187" s="3" t="s">
        <v>314</v>
      </c>
    </row>
    <row r="188" spans="1:46">
      <c r="A188" s="3">
        <v>118.1</v>
      </c>
      <c r="B188" s="3" t="s">
        <v>284</v>
      </c>
      <c r="C188" s="3" t="s">
        <v>312</v>
      </c>
      <c r="D188" s="3">
        <v>-18.069700000000001</v>
      </c>
      <c r="E188" s="3">
        <v>-163.1293</v>
      </c>
      <c r="F188" s="1" t="s">
        <v>128</v>
      </c>
      <c r="G188" s="3" t="s">
        <v>208</v>
      </c>
      <c r="H188" s="10">
        <v>41398</v>
      </c>
      <c r="I188" s="9">
        <v>0.48958333333333331</v>
      </c>
      <c r="J188" s="3">
        <v>28</v>
      </c>
      <c r="K188" s="3">
        <v>28</v>
      </c>
      <c r="L188" s="3">
        <v>35.5</v>
      </c>
      <c r="M188" s="3">
        <v>6.5</v>
      </c>
      <c r="N188" s="3" t="s">
        <v>127</v>
      </c>
      <c r="O188" s="3">
        <v>40</v>
      </c>
      <c r="P188" s="3">
        <v>12.4</v>
      </c>
      <c r="Q188" s="3">
        <v>98.2</v>
      </c>
      <c r="R188" s="2" t="s">
        <v>37</v>
      </c>
      <c r="S188" s="11">
        <v>37</v>
      </c>
      <c r="T188" s="11">
        <v>1.55</v>
      </c>
      <c r="U188" s="11">
        <v>0.49</v>
      </c>
      <c r="V188" s="3">
        <f t="shared" si="8"/>
        <v>1.1100000000000001</v>
      </c>
      <c r="W188" s="3" t="s">
        <v>64</v>
      </c>
      <c r="X188" s="3" t="s">
        <v>42</v>
      </c>
      <c r="Y188" s="7">
        <v>41518</v>
      </c>
      <c r="Z188" s="11">
        <v>33</v>
      </c>
      <c r="AA188" s="11">
        <v>1.95</v>
      </c>
      <c r="AB188" s="3">
        <v>1.04</v>
      </c>
      <c r="AC188" s="3">
        <f t="shared" si="9"/>
        <v>1.65</v>
      </c>
      <c r="AD188" s="3" t="s">
        <v>44</v>
      </c>
      <c r="AE188" s="3">
        <f>V188/AC188</f>
        <v>0.67272727272727284</v>
      </c>
      <c r="AF188" s="7">
        <v>41518</v>
      </c>
      <c r="AG188" s="11">
        <v>0.84</v>
      </c>
      <c r="AH188" s="11">
        <f t="shared" si="10"/>
        <v>2.1590909090909109</v>
      </c>
      <c r="AI188" s="16">
        <f t="shared" si="5"/>
        <v>107.95454545454555</v>
      </c>
      <c r="AJ188" s="11">
        <f t="shared" si="6"/>
        <v>21.590909090909111</v>
      </c>
      <c r="AK188" s="16">
        <f t="shared" si="7"/>
        <v>185.26315789473668</v>
      </c>
      <c r="AL188" s="3" t="s">
        <v>309</v>
      </c>
      <c r="AO188" s="3" t="s">
        <v>315</v>
      </c>
    </row>
    <row r="189" spans="1:46">
      <c r="A189" s="3">
        <v>118.2</v>
      </c>
      <c r="B189" s="3" t="s">
        <v>284</v>
      </c>
      <c r="C189" s="3" t="s">
        <v>312</v>
      </c>
      <c r="D189" s="3">
        <v>-18.069700000000001</v>
      </c>
      <c r="E189" s="3">
        <v>-163.1293</v>
      </c>
      <c r="F189" s="1" t="s">
        <v>128</v>
      </c>
      <c r="G189" s="3" t="s">
        <v>208</v>
      </c>
      <c r="H189" s="10">
        <v>41398</v>
      </c>
      <c r="I189" s="9">
        <v>0.48958333333333331</v>
      </c>
      <c r="J189" s="3">
        <v>28</v>
      </c>
      <c r="K189" s="3">
        <v>28</v>
      </c>
      <c r="L189" s="3">
        <v>35.5</v>
      </c>
      <c r="M189" s="3">
        <v>6.5</v>
      </c>
      <c r="N189" s="3" t="s">
        <v>127</v>
      </c>
      <c r="O189" s="3">
        <v>40</v>
      </c>
      <c r="P189" s="3">
        <v>12.4</v>
      </c>
      <c r="Q189" s="3">
        <v>98.2</v>
      </c>
      <c r="R189" s="2" t="s">
        <v>37</v>
      </c>
      <c r="S189" s="11">
        <v>32</v>
      </c>
      <c r="T189" s="11">
        <v>2.2000000000000002</v>
      </c>
      <c r="U189" s="11">
        <v>0.25</v>
      </c>
      <c r="V189" s="3">
        <f>32*30/1000</f>
        <v>0.96</v>
      </c>
      <c r="W189" s="3" t="s">
        <v>60</v>
      </c>
      <c r="X189" s="3">
        <v>200</v>
      </c>
      <c r="Y189" s="7">
        <v>41609</v>
      </c>
      <c r="Z189" s="11">
        <v>69.900000000000006</v>
      </c>
      <c r="AA189" s="11">
        <v>1.96</v>
      </c>
      <c r="AB189" s="3">
        <v>0.56999999999999995</v>
      </c>
      <c r="AC189" s="3">
        <f>69.9*50/1000</f>
        <v>3.4950000000000006</v>
      </c>
      <c r="AD189" s="3" t="s">
        <v>44</v>
      </c>
      <c r="AE189" s="3">
        <f>V189/AC189</f>
        <v>0.27467811158798278</v>
      </c>
      <c r="AF189" s="7">
        <v>41609</v>
      </c>
      <c r="AG189" s="11" t="s">
        <v>79</v>
      </c>
      <c r="AH189" s="11"/>
      <c r="AI189" s="16">
        <f>AVERAGE(AE188:AE189)</f>
        <v>0.47370269215762784</v>
      </c>
      <c r="AJ189" s="11"/>
      <c r="AK189" s="16"/>
    </row>
    <row r="190" spans="1:46">
      <c r="A190" s="11">
        <v>119.1</v>
      </c>
      <c r="B190" s="11" t="s">
        <v>284</v>
      </c>
      <c r="C190" s="11" t="s">
        <v>316</v>
      </c>
      <c r="D190" s="11">
        <v>-18.0412</v>
      </c>
      <c r="E190" s="11">
        <v>-163.1876</v>
      </c>
      <c r="F190" s="1" t="s">
        <v>82</v>
      </c>
      <c r="G190" s="11" t="s">
        <v>317</v>
      </c>
      <c r="H190" s="34">
        <v>41399</v>
      </c>
      <c r="I190" s="35">
        <v>0.36944444444444446</v>
      </c>
      <c r="J190" s="11">
        <v>28</v>
      </c>
      <c r="K190" s="11">
        <v>27.9</v>
      </c>
      <c r="L190" s="11">
        <v>35.5</v>
      </c>
      <c r="M190" s="11">
        <v>10</v>
      </c>
      <c r="N190" s="11" t="s">
        <v>304</v>
      </c>
      <c r="O190" s="11">
        <v>25</v>
      </c>
      <c r="P190" s="11">
        <v>9.6</v>
      </c>
      <c r="Q190" s="11">
        <v>40.700000000000003</v>
      </c>
      <c r="R190" s="16" t="s">
        <v>37</v>
      </c>
      <c r="S190" s="11">
        <v>22</v>
      </c>
      <c r="T190" s="11">
        <v>1.45</v>
      </c>
      <c r="U190" s="11">
        <v>0.4</v>
      </c>
      <c r="V190" s="11">
        <f t="shared" si="8"/>
        <v>0.66</v>
      </c>
      <c r="W190" s="11" t="s">
        <v>64</v>
      </c>
      <c r="X190" s="11" t="s">
        <v>42</v>
      </c>
      <c r="Y190" s="8">
        <v>41518</v>
      </c>
      <c r="Z190" s="11">
        <v>42</v>
      </c>
      <c r="AA190" s="11">
        <v>1.88</v>
      </c>
      <c r="AB190" s="11">
        <v>1.1499999999999999</v>
      </c>
      <c r="AC190" s="11">
        <f t="shared" si="9"/>
        <v>2.1</v>
      </c>
      <c r="AD190" s="11" t="s">
        <v>44</v>
      </c>
      <c r="AE190" s="3">
        <f>V190/AC190</f>
        <v>0.31428571428571428</v>
      </c>
      <c r="AF190" s="8">
        <v>41518</v>
      </c>
      <c r="AG190" s="11">
        <v>0.96799999999999997</v>
      </c>
      <c r="AH190" s="11">
        <v>0</v>
      </c>
      <c r="AI190" s="11">
        <f t="shared" si="5"/>
        <v>0</v>
      </c>
      <c r="AJ190" s="11">
        <f t="shared" si="6"/>
        <v>0</v>
      </c>
      <c r="AK190" s="11" t="s">
        <v>273</v>
      </c>
      <c r="AL190" s="11" t="s">
        <v>309</v>
      </c>
      <c r="AM190" s="11"/>
      <c r="AN190" s="11"/>
      <c r="AO190" s="11"/>
      <c r="AP190" s="11"/>
      <c r="AQ190" s="11"/>
      <c r="AR190" s="11"/>
      <c r="AS190" s="11"/>
      <c r="AT190" s="11"/>
    </row>
    <row r="191" spans="1:46">
      <c r="A191" s="3">
        <v>119.2</v>
      </c>
      <c r="B191" s="3" t="s">
        <v>284</v>
      </c>
      <c r="C191" s="3" t="s">
        <v>316</v>
      </c>
      <c r="D191" s="3">
        <v>-18.0412</v>
      </c>
      <c r="E191" s="3">
        <v>-163.1876</v>
      </c>
      <c r="F191" s="1" t="s">
        <v>82</v>
      </c>
      <c r="G191" s="3" t="s">
        <v>317</v>
      </c>
      <c r="H191" s="10">
        <v>41399</v>
      </c>
      <c r="I191" s="9">
        <v>0.36944444444444446</v>
      </c>
      <c r="J191" s="3">
        <v>28</v>
      </c>
      <c r="K191" s="3">
        <v>27.9</v>
      </c>
      <c r="L191" s="3">
        <v>35.5</v>
      </c>
      <c r="M191" s="3">
        <v>10</v>
      </c>
      <c r="N191" s="3" t="s">
        <v>304</v>
      </c>
      <c r="O191" s="3">
        <v>25</v>
      </c>
      <c r="P191" s="3">
        <v>9.6</v>
      </c>
      <c r="Q191" s="3">
        <v>40.700000000000003</v>
      </c>
      <c r="R191" s="2" t="s">
        <v>37</v>
      </c>
      <c r="S191" s="11">
        <v>42.3</v>
      </c>
      <c r="T191" s="11">
        <v>2.11</v>
      </c>
      <c r="U191" s="11">
        <v>0.62</v>
      </c>
      <c r="V191" s="11">
        <f>42.3*30/1000</f>
        <v>1.2689999999999999</v>
      </c>
      <c r="W191" s="11" t="s">
        <v>47</v>
      </c>
      <c r="X191" s="11">
        <v>200</v>
      </c>
      <c r="Y191" s="41">
        <v>41621</v>
      </c>
      <c r="Z191" s="13" t="s">
        <v>79</v>
      </c>
      <c r="AA191" s="11"/>
      <c r="AB191" s="11"/>
      <c r="AC191" s="11"/>
      <c r="AD191" s="11"/>
      <c r="AF191" s="8">
        <v>41609</v>
      </c>
      <c r="AG191" s="11" t="s">
        <v>79</v>
      </c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</row>
    <row r="192" spans="1:46">
      <c r="A192" s="3">
        <v>120.1</v>
      </c>
      <c r="B192" s="3" t="s">
        <v>284</v>
      </c>
      <c r="C192" s="3" t="s">
        <v>316</v>
      </c>
      <c r="D192" s="3">
        <v>-18.0412</v>
      </c>
      <c r="E192" s="3">
        <v>-163.1876</v>
      </c>
      <c r="F192" s="1" t="s">
        <v>82</v>
      </c>
      <c r="G192" s="3" t="s">
        <v>318</v>
      </c>
      <c r="H192" s="10">
        <v>41399</v>
      </c>
      <c r="I192" s="9">
        <v>0.375</v>
      </c>
      <c r="J192" s="3">
        <v>28</v>
      </c>
      <c r="K192" s="3">
        <v>27.9</v>
      </c>
      <c r="L192" s="3">
        <v>35.5</v>
      </c>
      <c r="M192" s="3">
        <v>9</v>
      </c>
      <c r="N192" s="3" t="s">
        <v>304</v>
      </c>
      <c r="O192" s="3">
        <v>20</v>
      </c>
      <c r="P192" s="3">
        <v>5.2</v>
      </c>
      <c r="Q192" s="3">
        <v>12.3</v>
      </c>
      <c r="R192" s="2" t="s">
        <v>37</v>
      </c>
      <c r="S192" s="11">
        <v>51.5</v>
      </c>
      <c r="T192" s="11">
        <v>1.96</v>
      </c>
      <c r="U192" s="3">
        <f>AVERAGE(2.64,1.87)</f>
        <v>2.2549999999999999</v>
      </c>
      <c r="V192" s="11">
        <f t="shared" si="8"/>
        <v>1.5449999999999999</v>
      </c>
      <c r="W192" s="3" t="s">
        <v>64</v>
      </c>
      <c r="X192" s="3" t="s">
        <v>42</v>
      </c>
      <c r="Y192" s="7">
        <v>41518</v>
      </c>
      <c r="Z192" s="11">
        <v>163</v>
      </c>
      <c r="AA192" s="11">
        <v>1.8</v>
      </c>
      <c r="AB192" s="3">
        <f>AVERAGE(2.8,2.24)</f>
        <v>2.52</v>
      </c>
      <c r="AC192" s="11">
        <f t="shared" si="9"/>
        <v>8.15</v>
      </c>
      <c r="AD192" s="3" t="s">
        <v>44</v>
      </c>
      <c r="AE192" s="3">
        <f>V192/AC192</f>
        <v>0.18957055214723925</v>
      </c>
      <c r="AF192" s="7">
        <v>41518</v>
      </c>
      <c r="AG192" s="11">
        <v>0.754</v>
      </c>
      <c r="AH192" s="11">
        <f>(AG192-0.9317)/-0.007</f>
        <v>25.385714285714279</v>
      </c>
      <c r="AI192" s="23">
        <f>AH192/20*1000</f>
        <v>1269.285714285714</v>
      </c>
      <c r="AJ192" s="11">
        <f t="shared" si="6"/>
        <v>253.8571428571428</v>
      </c>
      <c r="AL192" s="3" t="s">
        <v>300</v>
      </c>
    </row>
    <row r="193" spans="1:46">
      <c r="A193" s="3">
        <v>120.2</v>
      </c>
      <c r="B193" s="3" t="s">
        <v>284</v>
      </c>
      <c r="C193" s="3" t="s">
        <v>316</v>
      </c>
      <c r="D193" s="3">
        <v>-18.0412</v>
      </c>
      <c r="E193" s="3">
        <v>-163.1876</v>
      </c>
      <c r="F193" s="1" t="s">
        <v>82</v>
      </c>
      <c r="G193" s="3" t="s">
        <v>318</v>
      </c>
      <c r="H193" s="10">
        <v>41399</v>
      </c>
      <c r="I193" s="9">
        <v>0.375</v>
      </c>
      <c r="J193" s="3">
        <v>28</v>
      </c>
      <c r="K193" s="3">
        <v>27.9</v>
      </c>
      <c r="L193" s="3">
        <v>35.5</v>
      </c>
      <c r="M193" s="3">
        <v>9</v>
      </c>
      <c r="N193" s="3" t="s">
        <v>304</v>
      </c>
      <c r="O193" s="3">
        <v>20</v>
      </c>
      <c r="P193" s="3">
        <v>5.2</v>
      </c>
      <c r="Q193" s="3">
        <v>12.3</v>
      </c>
      <c r="R193" s="2" t="s">
        <v>37</v>
      </c>
      <c r="S193" s="11">
        <v>94.5</v>
      </c>
      <c r="T193" s="11">
        <v>2.1800000000000002</v>
      </c>
      <c r="U193" s="3">
        <v>1.3</v>
      </c>
      <c r="V193" s="11">
        <f>30*94.5/1000</f>
        <v>2.835</v>
      </c>
      <c r="W193" s="3" t="s">
        <v>47</v>
      </c>
      <c r="X193" s="3">
        <v>200</v>
      </c>
      <c r="Y193" s="7">
        <v>41609</v>
      </c>
      <c r="Z193" s="11" t="s">
        <v>79</v>
      </c>
      <c r="AA193" s="11"/>
      <c r="AC193" s="11"/>
      <c r="AF193" s="7"/>
      <c r="AG193" s="11" t="s">
        <v>79</v>
      </c>
      <c r="AH193" s="11"/>
      <c r="AI193" s="23"/>
      <c r="AJ193" s="11"/>
    </row>
    <row r="194" spans="1:46">
      <c r="A194" s="3">
        <v>121.1</v>
      </c>
      <c r="B194" s="3" t="s">
        <v>284</v>
      </c>
      <c r="C194" s="3" t="s">
        <v>316</v>
      </c>
      <c r="D194" s="3">
        <v>-18.0412</v>
      </c>
      <c r="E194" s="3">
        <v>-163.1876</v>
      </c>
      <c r="F194" s="1" t="s">
        <v>82</v>
      </c>
      <c r="G194" s="3" t="s">
        <v>319</v>
      </c>
      <c r="H194" s="10">
        <v>41399</v>
      </c>
      <c r="I194" s="9">
        <v>0.3888888888888889</v>
      </c>
      <c r="J194" s="3">
        <v>28</v>
      </c>
      <c r="K194" s="3">
        <v>27.9</v>
      </c>
      <c r="L194" s="3">
        <v>35.5</v>
      </c>
      <c r="M194" s="3">
        <v>9</v>
      </c>
      <c r="N194" s="3" t="s">
        <v>304</v>
      </c>
      <c r="O194" s="3">
        <v>15</v>
      </c>
      <c r="P194" s="3">
        <v>5.8</v>
      </c>
      <c r="Q194" s="3">
        <v>17.600000000000001</v>
      </c>
      <c r="R194" s="2" t="s">
        <v>37</v>
      </c>
      <c r="S194" s="11">
        <v>61</v>
      </c>
      <c r="T194" s="11">
        <v>2.04</v>
      </c>
      <c r="U194" s="11">
        <v>1.39</v>
      </c>
      <c r="V194" s="11">
        <f t="shared" si="8"/>
        <v>1.83</v>
      </c>
      <c r="W194" s="3" t="s">
        <v>64</v>
      </c>
      <c r="X194" s="3" t="s">
        <v>42</v>
      </c>
      <c r="Y194" s="7">
        <v>41518</v>
      </c>
      <c r="Z194" s="11">
        <v>88</v>
      </c>
      <c r="AA194" s="11">
        <v>1.83</v>
      </c>
      <c r="AB194" s="3">
        <v>1.68</v>
      </c>
      <c r="AC194" s="11">
        <f t="shared" si="9"/>
        <v>4.4000000000000004</v>
      </c>
      <c r="AD194" s="3" t="s">
        <v>44</v>
      </c>
      <c r="AE194" s="3">
        <f>V194/AC194</f>
        <v>0.41590909090909089</v>
      </c>
      <c r="AF194" s="7">
        <v>41518</v>
      </c>
      <c r="AG194" s="11">
        <v>0.79</v>
      </c>
      <c r="AH194" s="11">
        <f t="shared" ref="AH194:AH198" si="11">(AG194-0.9317)/-0.007</f>
        <v>20.242857142857133</v>
      </c>
      <c r="AI194" s="23">
        <f t="shared" ref="AI194:AI198" si="12">AH194/20*1000</f>
        <v>1012.1428571428565</v>
      </c>
      <c r="AJ194" s="11">
        <f>AI194*100/1000</f>
        <v>101.21428571428565</v>
      </c>
      <c r="AL194" s="3" t="s">
        <v>300</v>
      </c>
    </row>
    <row r="195" spans="1:46">
      <c r="A195" s="3">
        <v>121.2</v>
      </c>
      <c r="B195" s="3" t="s">
        <v>284</v>
      </c>
      <c r="C195" s="3" t="s">
        <v>316</v>
      </c>
      <c r="D195" s="3">
        <v>-18.0412</v>
      </c>
      <c r="E195" s="3">
        <v>-163.1876</v>
      </c>
      <c r="F195" s="1" t="s">
        <v>82</v>
      </c>
      <c r="G195" s="3" t="s">
        <v>319</v>
      </c>
      <c r="H195" s="10">
        <v>41399</v>
      </c>
      <c r="I195" s="9">
        <v>0.3888888888888889</v>
      </c>
      <c r="J195" s="3">
        <v>28</v>
      </c>
      <c r="K195" s="3">
        <v>27.9</v>
      </c>
      <c r="L195" s="3">
        <v>35.5</v>
      </c>
      <c r="M195" s="3">
        <v>9</v>
      </c>
      <c r="N195" s="3" t="s">
        <v>304</v>
      </c>
      <c r="O195" s="3">
        <v>15</v>
      </c>
      <c r="P195" s="3">
        <v>5.8</v>
      </c>
      <c r="Q195" s="3">
        <v>17.600000000000001</v>
      </c>
      <c r="R195" s="2" t="s">
        <v>37</v>
      </c>
      <c r="S195" s="11">
        <v>37.200000000000003</v>
      </c>
      <c r="T195" s="11">
        <v>1.83</v>
      </c>
      <c r="U195" s="11">
        <v>0.67</v>
      </c>
      <c r="V195" s="11">
        <f>37.2*30/1000</f>
        <v>1.1160000000000001</v>
      </c>
      <c r="W195" s="3" t="s">
        <v>47</v>
      </c>
      <c r="X195" s="3">
        <v>200</v>
      </c>
      <c r="Y195" s="41">
        <v>41621</v>
      </c>
      <c r="Z195" s="13" t="s">
        <v>79</v>
      </c>
      <c r="AA195" s="11"/>
      <c r="AC195" s="11"/>
      <c r="AF195" s="7"/>
      <c r="AG195" s="11" t="s">
        <v>79</v>
      </c>
      <c r="AH195" s="11"/>
      <c r="AI195" s="23"/>
      <c r="AJ195" s="11"/>
    </row>
    <row r="196" spans="1:46">
      <c r="A196" s="3">
        <v>122.1</v>
      </c>
      <c r="B196" s="3" t="s">
        <v>284</v>
      </c>
      <c r="C196" s="3" t="s">
        <v>320</v>
      </c>
      <c r="D196" s="3">
        <v>-18.005700000000001</v>
      </c>
      <c r="E196" s="3">
        <v>-163.17570000000001</v>
      </c>
      <c r="F196" s="1" t="s">
        <v>128</v>
      </c>
      <c r="G196" s="3" t="s">
        <v>321</v>
      </c>
      <c r="H196" s="10">
        <v>41399</v>
      </c>
      <c r="I196" s="9">
        <v>0.46319444444444446</v>
      </c>
      <c r="J196" s="3">
        <v>28</v>
      </c>
      <c r="K196" s="3">
        <v>28</v>
      </c>
      <c r="L196" s="3">
        <v>35.5</v>
      </c>
      <c r="M196" s="3">
        <v>7</v>
      </c>
      <c r="N196" s="3" t="s">
        <v>322</v>
      </c>
      <c r="O196" s="3">
        <v>20</v>
      </c>
      <c r="P196" s="3">
        <v>10.6</v>
      </c>
      <c r="Q196" s="3">
        <v>76.099999999999994</v>
      </c>
      <c r="R196" s="2" t="s">
        <v>37</v>
      </c>
      <c r="S196" s="11">
        <v>75.5</v>
      </c>
      <c r="T196" s="11">
        <v>2.08</v>
      </c>
      <c r="U196" s="11">
        <v>1.1299999999999999</v>
      </c>
      <c r="V196" s="11">
        <f t="shared" si="8"/>
        <v>2.2650000000000001</v>
      </c>
      <c r="W196" s="3" t="s">
        <v>64</v>
      </c>
      <c r="X196" s="3" t="s">
        <v>42</v>
      </c>
      <c r="Y196" s="7">
        <v>41518</v>
      </c>
      <c r="Z196" s="3">
        <v>211</v>
      </c>
      <c r="AA196" s="3">
        <f>AVERAGE(1.8)</f>
        <v>1.8</v>
      </c>
      <c r="AB196" s="3">
        <v>2.46</v>
      </c>
      <c r="AC196" s="11">
        <f t="shared" si="9"/>
        <v>10.55</v>
      </c>
      <c r="AD196" s="3" t="s">
        <v>44</v>
      </c>
      <c r="AE196" s="3">
        <f>V196/AC196</f>
        <v>0.21469194312796208</v>
      </c>
      <c r="AF196" s="7">
        <v>41518</v>
      </c>
      <c r="AG196" s="11">
        <v>0.67200000000000004</v>
      </c>
      <c r="AH196" s="11">
        <f t="shared" si="11"/>
        <v>37.099999999999987</v>
      </c>
      <c r="AI196" s="23">
        <f t="shared" si="12"/>
        <v>1854.9999999999993</v>
      </c>
      <c r="AJ196" s="11">
        <f>AI196*100/1000</f>
        <v>185.49999999999994</v>
      </c>
      <c r="AL196" s="3" t="s">
        <v>300</v>
      </c>
      <c r="AO196" s="3" t="s">
        <v>323</v>
      </c>
    </row>
    <row r="197" spans="1:46">
      <c r="A197" s="3">
        <v>122.2</v>
      </c>
      <c r="B197" s="3" t="s">
        <v>284</v>
      </c>
      <c r="C197" s="3" t="s">
        <v>320</v>
      </c>
      <c r="D197" s="3">
        <v>-18.005700000000001</v>
      </c>
      <c r="E197" s="3">
        <v>-163.17570000000001</v>
      </c>
      <c r="F197" s="1" t="s">
        <v>128</v>
      </c>
      <c r="G197" s="3" t="s">
        <v>321</v>
      </c>
      <c r="H197" s="10">
        <v>41399</v>
      </c>
      <c r="I197" s="9">
        <v>0.46319444444444446</v>
      </c>
      <c r="J197" s="3">
        <v>28</v>
      </c>
      <c r="K197" s="3">
        <v>28</v>
      </c>
      <c r="L197" s="3">
        <v>35.5</v>
      </c>
      <c r="M197" s="3">
        <v>7</v>
      </c>
      <c r="N197" s="3" t="s">
        <v>322</v>
      </c>
      <c r="O197" s="3">
        <v>20</v>
      </c>
      <c r="P197" s="3">
        <v>10.6</v>
      </c>
      <c r="Q197" s="3">
        <v>76.099999999999994</v>
      </c>
      <c r="R197" s="2" t="s">
        <v>37</v>
      </c>
      <c r="S197" s="11">
        <v>26.7</v>
      </c>
      <c r="T197" s="11">
        <v>2.25</v>
      </c>
      <c r="U197" s="11">
        <v>0.95</v>
      </c>
      <c r="V197" s="11">
        <f>26.7*30/1000</f>
        <v>0.80100000000000005</v>
      </c>
      <c r="W197" s="3" t="s">
        <v>47</v>
      </c>
      <c r="X197" s="3">
        <v>200</v>
      </c>
      <c r="Y197" s="7">
        <v>41609</v>
      </c>
      <c r="Z197" s="3">
        <v>32</v>
      </c>
      <c r="AA197" s="3">
        <v>2.06</v>
      </c>
      <c r="AB197" s="3">
        <v>0.46</v>
      </c>
      <c r="AC197" s="11">
        <f>32*50/1000</f>
        <v>1.6</v>
      </c>
      <c r="AD197" s="3" t="s">
        <v>44</v>
      </c>
      <c r="AE197" s="3">
        <f>V197/AC197</f>
        <v>0.50062499999999999</v>
      </c>
      <c r="AF197" s="7">
        <v>41609</v>
      </c>
      <c r="AG197" s="11" t="s">
        <v>79</v>
      </c>
      <c r="AH197" s="11"/>
      <c r="AI197" s="23">
        <f>AVERAGE(AE196:AE197)</f>
        <v>0.35765847156398101</v>
      </c>
      <c r="AJ197" s="11"/>
    </row>
    <row r="198" spans="1:46">
      <c r="A198" s="19">
        <v>123</v>
      </c>
      <c r="B198" s="19" t="s">
        <v>284</v>
      </c>
      <c r="C198" s="19" t="s">
        <v>320</v>
      </c>
      <c r="D198" s="19">
        <v>-18.005700000000001</v>
      </c>
      <c r="E198" s="19">
        <v>-163.17570000000001</v>
      </c>
      <c r="F198" s="28" t="s">
        <v>82</v>
      </c>
      <c r="G198" s="19" t="s">
        <v>324</v>
      </c>
      <c r="H198" s="20">
        <v>41399</v>
      </c>
      <c r="I198" s="21">
        <v>0.46597222222222223</v>
      </c>
      <c r="J198" s="19">
        <v>28</v>
      </c>
      <c r="K198" s="19">
        <v>28</v>
      </c>
      <c r="L198" s="19">
        <v>35.5</v>
      </c>
      <c r="M198" s="19">
        <v>7</v>
      </c>
      <c r="N198" s="19" t="s">
        <v>322</v>
      </c>
      <c r="O198" s="19">
        <v>25</v>
      </c>
      <c r="P198" s="19">
        <v>11.4</v>
      </c>
      <c r="Q198" s="19">
        <v>52.3</v>
      </c>
      <c r="R198" s="17" t="s">
        <v>37</v>
      </c>
      <c r="S198" s="19">
        <v>56</v>
      </c>
      <c r="T198" s="19">
        <v>2.0699999999999998</v>
      </c>
      <c r="U198" s="19">
        <v>0.63</v>
      </c>
      <c r="V198" s="19">
        <f t="shared" si="8"/>
        <v>1.68</v>
      </c>
      <c r="W198" s="19" t="s">
        <v>64</v>
      </c>
      <c r="X198" s="19" t="s">
        <v>42</v>
      </c>
      <c r="Y198" s="7">
        <v>41518</v>
      </c>
      <c r="Z198" s="19">
        <v>151</v>
      </c>
      <c r="AA198" s="19">
        <v>1.8</v>
      </c>
      <c r="AB198" s="19">
        <v>1.72</v>
      </c>
      <c r="AC198" s="19">
        <f t="shared" si="9"/>
        <v>7.55</v>
      </c>
      <c r="AD198" s="19" t="s">
        <v>44</v>
      </c>
      <c r="AE198" s="3">
        <f>V198/AC198</f>
        <v>0.22251655629139072</v>
      </c>
      <c r="AF198" s="7">
        <v>41518</v>
      </c>
      <c r="AG198" s="19">
        <v>0.79</v>
      </c>
      <c r="AH198" s="19">
        <f t="shared" si="11"/>
        <v>20.242857142857133</v>
      </c>
      <c r="AI198" s="40">
        <f t="shared" si="12"/>
        <v>1012.1428571428565</v>
      </c>
      <c r="AJ198" s="19">
        <f>AI198*100/1000</f>
        <v>101.21428571428565</v>
      </c>
      <c r="AK198" s="19"/>
      <c r="AL198" s="19" t="s">
        <v>300</v>
      </c>
      <c r="AM198" s="19"/>
      <c r="AN198" s="19"/>
      <c r="AO198" s="19"/>
      <c r="AP198" s="19"/>
      <c r="AQ198" s="19"/>
      <c r="AR198" s="19"/>
      <c r="AS198" s="19"/>
      <c r="AT198" s="19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Khaled bin Sultan Living Oceans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Mayfield</dc:creator>
  <cp:lastModifiedBy>Anderson Mayfield</cp:lastModifiedBy>
  <dcterms:created xsi:type="dcterms:W3CDTF">2016-10-26T14:19:12Z</dcterms:created>
  <dcterms:modified xsi:type="dcterms:W3CDTF">2016-10-26T14:24:35Z</dcterms:modified>
</cp:coreProperties>
</file>